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EstaPasta_de_trabalho" defaultThemeVersion="124226"/>
  <bookViews>
    <workbookView xWindow="-120" yWindow="-120" windowWidth="20730" windowHeight="11160" tabRatio="502" firstSheet="4" activeTab="4"/>
  </bookViews>
  <sheets>
    <sheet name="12h NOT INSPETOR ITEM 1" sheetId="50" state="hidden" r:id="rId1"/>
    <sheet name="RESUMO item 1" sheetId="56" state="hidden" r:id="rId2"/>
    <sheet name="Planilha1" sheetId="100" state="hidden" r:id="rId3"/>
    <sheet name="RESUMO GERAL" sheetId="44" state="hidden" r:id="rId4"/>
    <sheet name="RESUMO" sheetId="113" r:id="rId5"/>
    <sheet name="MANAUS DIURNO" sheetId="97" r:id="rId6"/>
    <sheet name="MANAUS NOTU" sheetId="101" r:id="rId7"/>
    <sheet name="MANAUS 44 H" sheetId="107" r:id="rId8"/>
    <sheet name="MANAUS 44 H LÍDER" sheetId="108" r:id="rId9"/>
    <sheet name="TBT DIURNO" sheetId="109" r:id="rId10"/>
    <sheet name="TBT NOTU" sheetId="110" r:id="rId11"/>
    <sheet name="TEFÉ 44 H" sheetId="111" r:id="rId12"/>
    <sheet name="TABATINGA NOTU" sheetId="102" state="hidden" r:id="rId13"/>
    <sheet name="TABATINGA DIURNO" sheetId="103" state="hidden" r:id="rId14"/>
    <sheet name="TABATINGA DIURNO FRONT" sheetId="104" state="hidden" r:id="rId15"/>
    <sheet name="ITACOATIARA NOTU" sheetId="105" state="hidden" r:id="rId16"/>
    <sheet name="ITACOATIARA DIURNO" sheetId="106" state="hidden" r:id="rId17"/>
    <sheet name="MANAUS NOTURNO" sheetId="98" state="hidden" r:id="rId18"/>
    <sheet name="NOTURNO ARAGUAÍNA ok" sheetId="99" state="hidden" r:id="rId19"/>
    <sheet name="KKKK" sheetId="58" state="hidden" r:id="rId20"/>
    <sheet name="RESUMO item 2" sheetId="54" state="hidden" r:id="rId21"/>
    <sheet name="12h DIU VIG ITEM 3" sheetId="53" state="hidden" r:id="rId22"/>
    <sheet name="RESUMO item 3" sheetId="55" state="hidden" r:id="rId23"/>
    <sheet name="NOTURNO GURUPI ok" sheetId="96" state="hidden" r:id="rId24"/>
    <sheet name="3 - DIU OUTEIRO" sheetId="85" state="hidden" r:id="rId25"/>
    <sheet name="3 - NOT OUTEIRO" sheetId="86" state="hidden" r:id="rId26"/>
    <sheet name="4 - DIU MARABÁ" sheetId="87" state="hidden" r:id="rId27"/>
    <sheet name="4 - NOT MARABÁ" sheetId="88" state="hidden" r:id="rId28"/>
    <sheet name="5 - DIU VISEU" sheetId="89" state="hidden" r:id="rId29"/>
    <sheet name="5 - NOT VISEU" sheetId="90" state="hidden" r:id="rId30"/>
    <sheet name="6 - DIU RADAR METE" sheetId="91" state="hidden" r:id="rId31"/>
    <sheet name="6 - NOT RADAR METE" sheetId="92" state="hidden" r:id="rId32"/>
    <sheet name="7 - DIU RADAR LP 23" sheetId="93" state="hidden" r:id="rId33"/>
    <sheet name="7 - NOT RADAR LP 23" sheetId="94" state="hidden" r:id="rId34"/>
    <sheet name="EQUIP-MAT " sheetId="37" state="hidden" r:id="rId35"/>
  </sheets>
  <externalReferences>
    <externalReference r:id="rId36"/>
    <externalReference r:id="rId37"/>
    <externalReference r:id="rId38"/>
  </externalReferences>
  <definedNames>
    <definedName name="_e_" localSheetId="2">" e "</definedName>
    <definedName name="_sp_" localSheetId="2">" "</definedName>
    <definedName name="_xlnm.Print_Area" localSheetId="21">'12h DIU VIG ITEM 3'!$A$3:$J$157</definedName>
    <definedName name="_xlnm.Print_Area" localSheetId="0">'12h NOT INSPETOR ITEM 1'!$A$3:$J$157</definedName>
    <definedName name="_xlnm.Print_Area" localSheetId="24">'3 - DIU OUTEIRO'!$A$2:$J$156</definedName>
    <definedName name="_xlnm.Print_Area" localSheetId="25">'3 - NOT OUTEIRO'!$A$2:$J$155</definedName>
    <definedName name="_xlnm.Print_Area" localSheetId="26">'4 - DIU MARABÁ'!$A$2:$J$155</definedName>
    <definedName name="_xlnm.Print_Area" localSheetId="27">'4 - NOT MARABÁ'!$A$2:$J$155</definedName>
    <definedName name="_xlnm.Print_Area" localSheetId="28">'5 - DIU VISEU'!$A$2:$J$156</definedName>
    <definedName name="_xlnm.Print_Area" localSheetId="29">'5 - NOT VISEU'!$A$2:$J$156</definedName>
    <definedName name="_xlnm.Print_Area" localSheetId="30">'6 - DIU RADAR METE'!$A$2:$J$154</definedName>
    <definedName name="_xlnm.Print_Area" localSheetId="31">'6 - NOT RADAR METE'!$A$2:$J$155</definedName>
    <definedName name="_xlnm.Print_Area" localSheetId="32">'7 - DIU RADAR LP 23'!$A$2:$J$154</definedName>
    <definedName name="_xlnm.Print_Area" localSheetId="33">'7 - NOT RADAR LP 23'!$A$2:$J$155</definedName>
    <definedName name="_xlnm.Print_Area" localSheetId="34">'EQUIP-MAT '!$A$1:$F$38</definedName>
    <definedName name="_xlnm.Print_Area" localSheetId="16">'ITACOATIARA DIURNO'!$B$1:$K$153,'ITACOATIARA DIURNO'!$M$1:$Q$46</definedName>
    <definedName name="_xlnm.Print_Area" localSheetId="15">'ITACOATIARA NOTU'!$B$1:$K$153,'ITACOATIARA NOTU'!$M$1:$Q$46</definedName>
    <definedName name="_xlnm.Print_Area" localSheetId="19">KKKK!$A$2:$J$154</definedName>
    <definedName name="_xlnm.Print_Area" localSheetId="7">'MANAUS 44 H'!$B$1:$K$154,'MANAUS 44 H'!$M$1:$Q$80</definedName>
    <definedName name="_xlnm.Print_Area" localSheetId="8">'MANAUS 44 H LÍDER'!$B$1:$K$154,'MANAUS 44 H LÍDER'!$M$1:$Q$76</definedName>
    <definedName name="_xlnm.Print_Area" localSheetId="5">'MANAUS DIURNO'!$B$1:$K$154,'MANAUS DIURNO'!$M$1:$Q$80</definedName>
    <definedName name="_xlnm.Print_Area" localSheetId="6">'MANAUS NOTU'!$B$1:$K$154,'MANAUS NOTU'!$M$1:$Q$78</definedName>
    <definedName name="_xlnm.Print_Area" localSheetId="17">'MANAUS NOTURNO'!$B$1:$K$157,'MANAUS NOTURNO'!$N$1:$R$48</definedName>
    <definedName name="_xlnm.Print_Area" localSheetId="18">'NOTURNO ARAGUAÍNA ok'!$B$2:$K$158,'NOTURNO ARAGUAÍNA ok'!$N$2:$R$49</definedName>
    <definedName name="_xlnm.Print_Area" localSheetId="23">'NOTURNO GURUPI ok'!$B$1:$K$161,'NOTURNO GURUPI ok'!$N$1:$R$48</definedName>
    <definedName name="_xlnm.Print_Area" localSheetId="4">RESUMO!$A$1:$K$56</definedName>
    <definedName name="_xlnm.Print_Area" localSheetId="3">'RESUMO GERAL'!$A$1:$I$64</definedName>
    <definedName name="_xlnm.Print_Area" localSheetId="1">'RESUMO item 1'!$A$1:$L$12</definedName>
    <definedName name="_xlnm.Print_Area" localSheetId="20">'RESUMO item 2'!$A$1:$L$12</definedName>
    <definedName name="_xlnm.Print_Area" localSheetId="22">'RESUMO item 3'!$A$1:$L$11</definedName>
    <definedName name="_xlnm.Print_Area" localSheetId="13">'TABATINGA DIURNO'!$B$1:$K$153,'TABATINGA DIURNO'!$M$1:$Q$46</definedName>
    <definedName name="_xlnm.Print_Area" localSheetId="14">'TABATINGA DIURNO FRONT'!$B$1:$K$153,'TABATINGA DIURNO FRONT'!$M$1:$Q$46</definedName>
    <definedName name="_xlnm.Print_Area" localSheetId="12">'TABATINGA NOTU'!$B$1:$K$153,'TABATINGA NOTU'!$M$1:$Q$46</definedName>
    <definedName name="_xlnm.Print_Area" localSheetId="9">'TBT DIURNO'!$B$1:$K$149,'TBT DIURNO'!$M$1:$Q$75</definedName>
    <definedName name="_xlnm.Print_Area" localSheetId="10">'TBT NOTU'!$B$1:$K$154,'TBT NOTU'!$M$1:$Q$75</definedName>
    <definedName name="_xlnm.Print_Area" localSheetId="11">'TEFÉ 44 H'!$B$1:$K$149,'TEFÉ 44 H'!$M$1:$Q$75</definedName>
    <definedName name="Cem" localSheetId="2">{"cento","duzentos","trezentos","quatrocentos","quinhentos","seiscentos","setecentos","oitocentos","novecentos"}</definedName>
    <definedName name="Dez" localSheetId="2">{"dez","vinte","trinta","quarenta","cinquenta","sessenta","setenta","oitenta","noventa"}</definedName>
    <definedName name="OCem" localSheetId="2">"cem"</definedName>
    <definedName name="Plu" localSheetId="2">{""," mil"," milhões"," bilhões"," trilhões"}</definedName>
    <definedName name="Sml" localSheetId="2">{"um","dois","três","quatro","cinco","seis","sete","oito","nove","dez","onze","doze","treze","quatorze","quinze","dezesseis","dezessete","dezoito","dezenove"}</definedName>
    <definedName name="Sng" localSheetId="2">{"um","mil","um milhão","um bilhão","um trilhão"}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3" i="97"/>
  <c r="K67"/>
  <c r="K60"/>
  <c r="R34" i="101"/>
  <c r="J122" i="97"/>
  <c r="Q13" i="111"/>
  <c r="Q12"/>
  <c r="Q11"/>
  <c r="Q10"/>
  <c r="Q9"/>
  <c r="Q8"/>
  <c r="Q7"/>
  <c r="Q6"/>
  <c r="Q71"/>
  <c r="Q70"/>
  <c r="K78" i="110"/>
  <c r="K48"/>
  <c r="K47"/>
  <c r="K93"/>
  <c r="K88"/>
  <c r="K89"/>
  <c r="K90"/>
  <c r="K91"/>
  <c r="K92"/>
  <c r="K87"/>
  <c r="K83"/>
  <c r="K82"/>
  <c r="K81"/>
  <c r="K80"/>
  <c r="K79"/>
  <c r="K77"/>
  <c r="L60"/>
  <c r="K59"/>
  <c r="K67"/>
  <c r="Q71"/>
  <c r="Q72" s="1"/>
  <c r="Q70"/>
  <c r="Q12"/>
  <c r="Q11"/>
  <c r="Q10"/>
  <c r="Q9"/>
  <c r="Q8"/>
  <c r="Q7"/>
  <c r="Q6"/>
  <c r="Q17" i="109"/>
  <c r="Q13"/>
  <c r="K88"/>
  <c r="K89"/>
  <c r="K90"/>
  <c r="K91"/>
  <c r="K92"/>
  <c r="K87"/>
  <c r="K83"/>
  <c r="K82"/>
  <c r="K81"/>
  <c r="K81" i="108"/>
  <c r="K80" i="109"/>
  <c r="K79"/>
  <c r="K78"/>
  <c r="K77"/>
  <c r="K67"/>
  <c r="L60"/>
  <c r="K53"/>
  <c r="K54"/>
  <c r="K55"/>
  <c r="K56"/>
  <c r="K57"/>
  <c r="K58"/>
  <c r="K59"/>
  <c r="K52"/>
  <c r="L52"/>
  <c r="L51"/>
  <c r="L49"/>
  <c r="K48"/>
  <c r="K47"/>
  <c r="L48"/>
  <c r="L47"/>
  <c r="Q72"/>
  <c r="Q73" s="1"/>
  <c r="Q71"/>
  <c r="Q12"/>
  <c r="Q11"/>
  <c r="Q10"/>
  <c r="Q9"/>
  <c r="Q8"/>
  <c r="Q7"/>
  <c r="Q6"/>
  <c r="K67" i="108"/>
  <c r="J49"/>
  <c r="Q72"/>
  <c r="Q71"/>
  <c r="Q17"/>
  <c r="Q12"/>
  <c r="Q11"/>
  <c r="Q10"/>
  <c r="Q9"/>
  <c r="Q8"/>
  <c r="Q7"/>
  <c r="Q6"/>
  <c r="Q24" i="101"/>
  <c r="Q23"/>
  <c r="Q12"/>
  <c r="Q11"/>
  <c r="Q10"/>
  <c r="Q9"/>
  <c r="Q8"/>
  <c r="Q7"/>
  <c r="Q6"/>
  <c r="Q6" i="97"/>
  <c r="Q12"/>
  <c r="Q11"/>
  <c r="Q10"/>
  <c r="Q9"/>
  <c r="Q8"/>
  <c r="Q7"/>
  <c r="K108" i="107"/>
  <c r="Q13"/>
  <c r="Q9"/>
  <c r="Q8"/>
  <c r="Q12"/>
  <c r="Q11"/>
  <c r="Q10"/>
  <c r="Q6"/>
  <c r="Q7"/>
  <c r="K93"/>
  <c r="K88"/>
  <c r="K89"/>
  <c r="K90"/>
  <c r="K91"/>
  <c r="K92"/>
  <c r="K87"/>
  <c r="K82"/>
  <c r="K81"/>
  <c r="K80"/>
  <c r="K79"/>
  <c r="K78"/>
  <c r="L77"/>
  <c r="K67"/>
  <c r="K60"/>
  <c r="K53"/>
  <c r="K54"/>
  <c r="K55"/>
  <c r="K56"/>
  <c r="K57"/>
  <c r="K58"/>
  <c r="K59"/>
  <c r="K52"/>
  <c r="K48"/>
  <c r="K49"/>
  <c r="K47"/>
  <c r="Q72"/>
  <c r="Q71"/>
  <c r="Q71" i="97"/>
  <c r="Q70"/>
  <c r="Q71" i="101"/>
  <c r="Q70"/>
  <c r="K93" i="97"/>
  <c r="K93" i="101"/>
  <c r="K88"/>
  <c r="K89"/>
  <c r="K90"/>
  <c r="K91"/>
  <c r="K92"/>
  <c r="K87"/>
  <c r="K83"/>
  <c r="K82"/>
  <c r="K81"/>
  <c r="K80"/>
  <c r="K79"/>
  <c r="K78"/>
  <c r="K78" i="97"/>
  <c r="J78"/>
  <c r="K77" i="101"/>
  <c r="K53"/>
  <c r="K54"/>
  <c r="K55"/>
  <c r="K56"/>
  <c r="K57"/>
  <c r="K58"/>
  <c r="K59"/>
  <c r="K52"/>
  <c r="K47"/>
  <c r="K53" i="97"/>
  <c r="K54"/>
  <c r="K55"/>
  <c r="K56"/>
  <c r="K57"/>
  <c r="K58"/>
  <c r="K59"/>
  <c r="K52"/>
  <c r="K47"/>
  <c r="K48"/>
  <c r="K82"/>
  <c r="K81"/>
  <c r="J81"/>
  <c r="K80"/>
  <c r="K79"/>
  <c r="K77"/>
  <c r="K49" i="101"/>
  <c r="K48"/>
  <c r="K41"/>
  <c r="Q17"/>
  <c r="K88" i="97"/>
  <c r="K89"/>
  <c r="K90"/>
  <c r="K91"/>
  <c r="K92"/>
  <c r="K87"/>
  <c r="K42"/>
  <c r="K39"/>
  <c r="K36" i="108"/>
  <c r="K37"/>
  <c r="K38" s="1"/>
  <c r="Q37"/>
  <c r="Q38" s="1"/>
  <c r="K39"/>
  <c r="Q13" l="1"/>
  <c r="Q73" i="107"/>
  <c r="Q73" i="108"/>
  <c r="Q13" i="101"/>
  <c r="Q13" i="97"/>
  <c r="Q13" i="110"/>
  <c r="H12" i="108"/>
  <c r="B20" s="1"/>
  <c r="Q72" i="111" l="1"/>
  <c r="Q72" i="101"/>
  <c r="Q72" i="97" l="1"/>
  <c r="N56"/>
  <c r="Q17" i="111" l="1"/>
  <c r="G37" i="113" l="1"/>
  <c r="G36"/>
  <c r="G30"/>
  <c r="G29"/>
  <c r="G28"/>
  <c r="G27"/>
  <c r="J78" i="111" l="1"/>
  <c r="J80"/>
  <c r="C141"/>
  <c r="C139"/>
  <c r="C138"/>
  <c r="C137"/>
  <c r="C136"/>
  <c r="C135"/>
  <c r="J124"/>
  <c r="J122"/>
  <c r="J93"/>
  <c r="N65"/>
  <c r="K65" s="1"/>
  <c r="J60"/>
  <c r="J81" s="1"/>
  <c r="N56"/>
  <c r="J49"/>
  <c r="N47"/>
  <c r="N48" s="1"/>
  <c r="N49" s="1"/>
  <c r="P49" s="1"/>
  <c r="K64" s="1"/>
  <c r="K39"/>
  <c r="Q37"/>
  <c r="K37"/>
  <c r="K38" s="1"/>
  <c r="K36"/>
  <c r="Q32"/>
  <c r="Q31"/>
  <c r="Q33" s="1"/>
  <c r="Q30"/>
  <c r="K27"/>
  <c r="K33" s="1"/>
  <c r="Q25"/>
  <c r="Q24"/>
  <c r="Q23"/>
  <c r="Q26" s="1"/>
  <c r="Q22"/>
  <c r="Q21"/>
  <c r="Q20"/>
  <c r="Q19"/>
  <c r="Q18"/>
  <c r="H12"/>
  <c r="B20" s="1"/>
  <c r="C141" i="110"/>
  <c r="C139"/>
  <c r="C138"/>
  <c r="C137"/>
  <c r="C136"/>
  <c r="C135"/>
  <c r="J124"/>
  <c r="J122"/>
  <c r="J93"/>
  <c r="J80"/>
  <c r="J78"/>
  <c r="N65"/>
  <c r="K65" s="1"/>
  <c r="J60"/>
  <c r="N56"/>
  <c r="J49"/>
  <c r="N47"/>
  <c r="N48" s="1"/>
  <c r="N49" s="1"/>
  <c r="P49" s="1"/>
  <c r="K64" s="1"/>
  <c r="Q40"/>
  <c r="Q41" s="1"/>
  <c r="K39"/>
  <c r="Q37"/>
  <c r="Q38" s="1"/>
  <c r="K37"/>
  <c r="K38" s="1"/>
  <c r="Q32"/>
  <c r="Q31"/>
  <c r="Q30"/>
  <c r="K27"/>
  <c r="K33" s="1"/>
  <c r="Q25"/>
  <c r="Q24"/>
  <c r="Q23"/>
  <c r="Q22"/>
  <c r="Q21"/>
  <c r="Q20"/>
  <c r="Q19"/>
  <c r="Q18"/>
  <c r="Q17"/>
  <c r="H12"/>
  <c r="B20" s="1"/>
  <c r="C141" i="109"/>
  <c r="C139"/>
  <c r="C138"/>
  <c r="C137"/>
  <c r="C136"/>
  <c r="C135"/>
  <c r="J124"/>
  <c r="J122"/>
  <c r="J93"/>
  <c r="J80"/>
  <c r="J78"/>
  <c r="N65"/>
  <c r="K65" s="1"/>
  <c r="J60"/>
  <c r="J81" s="1"/>
  <c r="N56"/>
  <c r="J49"/>
  <c r="N47"/>
  <c r="K39"/>
  <c r="Q37"/>
  <c r="Q38" s="1"/>
  <c r="K37"/>
  <c r="K38" s="1"/>
  <c r="Q32"/>
  <c r="Q31"/>
  <c r="Q30"/>
  <c r="Q33" s="1"/>
  <c r="K27"/>
  <c r="K33" s="1"/>
  <c r="Q25"/>
  <c r="Q24"/>
  <c r="Q23"/>
  <c r="Q26" s="1"/>
  <c r="Q22"/>
  <c r="Q21"/>
  <c r="Q20"/>
  <c r="Q19"/>
  <c r="Q18"/>
  <c r="H12"/>
  <c r="B20" s="1"/>
  <c r="C141" i="108"/>
  <c r="C139"/>
  <c r="C138"/>
  <c r="C137"/>
  <c r="C136"/>
  <c r="C135"/>
  <c r="J124"/>
  <c r="J122"/>
  <c r="J93"/>
  <c r="J80"/>
  <c r="J78"/>
  <c r="N65"/>
  <c r="K65" s="1"/>
  <c r="J60"/>
  <c r="N56"/>
  <c r="N47"/>
  <c r="N48" s="1"/>
  <c r="Q32"/>
  <c r="Q31"/>
  <c r="Q30"/>
  <c r="K27"/>
  <c r="K33" s="1"/>
  <c r="K35" s="1"/>
  <c r="Q25"/>
  <c r="Q24"/>
  <c r="Q23"/>
  <c r="Q22"/>
  <c r="Q21"/>
  <c r="Q20"/>
  <c r="Q19"/>
  <c r="Q18"/>
  <c r="H12" i="107"/>
  <c r="B20" s="1"/>
  <c r="C141"/>
  <c r="C139"/>
  <c r="C138"/>
  <c r="C137"/>
  <c r="C136"/>
  <c r="C135"/>
  <c r="J124"/>
  <c r="J122"/>
  <c r="J93"/>
  <c r="J80"/>
  <c r="J78"/>
  <c r="N65"/>
  <c r="K65" s="1"/>
  <c r="J60"/>
  <c r="N56"/>
  <c r="J49"/>
  <c r="N47"/>
  <c r="N48" s="1"/>
  <c r="N49" s="1"/>
  <c r="P49" s="1"/>
  <c r="K64" s="1"/>
  <c r="K39"/>
  <c r="Q37"/>
  <c r="Q38" s="1"/>
  <c r="K36"/>
  <c r="Q32"/>
  <c r="Q31"/>
  <c r="Q30"/>
  <c r="K27"/>
  <c r="K33" s="1"/>
  <c r="Q25"/>
  <c r="Q24"/>
  <c r="Q23"/>
  <c r="Q22"/>
  <c r="Q21"/>
  <c r="Q20"/>
  <c r="Q19"/>
  <c r="Q18"/>
  <c r="Q17"/>
  <c r="K65" i="101"/>
  <c r="Q40"/>
  <c r="Q41" s="1"/>
  <c r="Q37"/>
  <c r="Q38" s="1"/>
  <c r="N65"/>
  <c r="N56"/>
  <c r="N47"/>
  <c r="Q32"/>
  <c r="Q31"/>
  <c r="Q30"/>
  <c r="Q25"/>
  <c r="Q22"/>
  <c r="Q21"/>
  <c r="Q20"/>
  <c r="Q19"/>
  <c r="Q18"/>
  <c r="N65" i="97"/>
  <c r="K65" s="1"/>
  <c r="N47"/>
  <c r="N48" s="1"/>
  <c r="Q37"/>
  <c r="Q38" s="1"/>
  <c r="Q24"/>
  <c r="Q23"/>
  <c r="Q22"/>
  <c r="H12"/>
  <c r="Q26" i="108" l="1"/>
  <c r="K109" s="1"/>
  <c r="Q26" i="101"/>
  <c r="K108" i="111"/>
  <c r="Q26" i="110"/>
  <c r="K109" s="1"/>
  <c r="Q33"/>
  <c r="K110" s="1"/>
  <c r="K108"/>
  <c r="K109" i="109"/>
  <c r="Q33" i="108"/>
  <c r="K110" s="1"/>
  <c r="K108" i="101"/>
  <c r="Q33" i="107"/>
  <c r="K110" s="1"/>
  <c r="Q26"/>
  <c r="K109" s="1"/>
  <c r="K110" i="111"/>
  <c r="Q38"/>
  <c r="K109" i="101"/>
  <c r="Q33"/>
  <c r="K110" s="1"/>
  <c r="K41" i="109"/>
  <c r="K110"/>
  <c r="J81" i="108"/>
  <c r="J83" s="1"/>
  <c r="J104" s="1"/>
  <c r="J81" i="110"/>
  <c r="J81" i="107"/>
  <c r="J83" s="1"/>
  <c r="J104" s="1"/>
  <c r="K109" i="111"/>
  <c r="J83" i="109"/>
  <c r="J104" s="1"/>
  <c r="K108"/>
  <c r="K108" i="108"/>
  <c r="K34" i="111"/>
  <c r="N57"/>
  <c r="N58" s="1"/>
  <c r="P58" s="1"/>
  <c r="K63" s="1"/>
  <c r="K67" s="1"/>
  <c r="J83"/>
  <c r="J104" s="1"/>
  <c r="K34" i="110"/>
  <c r="N57"/>
  <c r="N58" s="1"/>
  <c r="P58" s="1"/>
  <c r="K63" s="1"/>
  <c r="K73" s="1"/>
  <c r="J83"/>
  <c r="J104" s="1"/>
  <c r="K34" i="109"/>
  <c r="K97" s="1"/>
  <c r="K102" s="1"/>
  <c r="N57"/>
  <c r="N58" s="1"/>
  <c r="P58" s="1"/>
  <c r="K63" s="1"/>
  <c r="N48"/>
  <c r="N49" s="1"/>
  <c r="P49" s="1"/>
  <c r="K64" s="1"/>
  <c r="N57" i="108"/>
  <c r="N58" s="1"/>
  <c r="P58" s="1"/>
  <c r="K63" s="1"/>
  <c r="K34"/>
  <c r="N49"/>
  <c r="P49" s="1"/>
  <c r="K64" s="1"/>
  <c r="K34" i="107"/>
  <c r="K97"/>
  <c r="N57"/>
  <c r="N58" s="1"/>
  <c r="P58" s="1"/>
  <c r="K63" s="1"/>
  <c r="K73" s="1"/>
  <c r="N48" i="101"/>
  <c r="N49" s="1"/>
  <c r="P49" s="1"/>
  <c r="K64" s="1"/>
  <c r="N49" i="97"/>
  <c r="P49" s="1"/>
  <c r="K64" s="1"/>
  <c r="M139" i="103"/>
  <c r="C140" i="106"/>
  <c r="M139"/>
  <c r="M141" s="1"/>
  <c r="C138"/>
  <c r="C137"/>
  <c r="C136"/>
  <c r="C135"/>
  <c r="C134"/>
  <c r="J123"/>
  <c r="J121"/>
  <c r="J87"/>
  <c r="J93" s="1"/>
  <c r="J80"/>
  <c r="J78"/>
  <c r="N74"/>
  <c r="K65" s="1"/>
  <c r="N65"/>
  <c r="J60"/>
  <c r="J81" s="1"/>
  <c r="N56"/>
  <c r="N57" s="1"/>
  <c r="J49"/>
  <c r="K39"/>
  <c r="K37"/>
  <c r="K38" s="1"/>
  <c r="K36"/>
  <c r="Q30"/>
  <c r="Q29"/>
  <c r="Q28"/>
  <c r="Q27"/>
  <c r="K27"/>
  <c r="K33" s="1"/>
  <c r="Q22"/>
  <c r="Q21"/>
  <c r="Q20"/>
  <c r="Q19"/>
  <c r="Q18"/>
  <c r="Q17"/>
  <c r="Q12"/>
  <c r="H12"/>
  <c r="B20" s="1"/>
  <c r="Q11"/>
  <c r="Q10"/>
  <c r="Q9"/>
  <c r="Q8"/>
  <c r="Q7"/>
  <c r="Q6"/>
  <c r="H6"/>
  <c r="M1"/>
  <c r="C140" i="105"/>
  <c r="M139"/>
  <c r="M141" s="1"/>
  <c r="M143" s="1"/>
  <c r="M145" s="1"/>
  <c r="M147" s="1"/>
  <c r="C138"/>
  <c r="C137"/>
  <c r="C136"/>
  <c r="C135"/>
  <c r="C134"/>
  <c r="J123"/>
  <c r="J121"/>
  <c r="J87"/>
  <c r="J93" s="1"/>
  <c r="J80"/>
  <c r="J78"/>
  <c r="N74"/>
  <c r="K65" s="1"/>
  <c r="N65"/>
  <c r="J60"/>
  <c r="J81" s="1"/>
  <c r="N57"/>
  <c r="N56"/>
  <c r="J49"/>
  <c r="K39"/>
  <c r="K37"/>
  <c r="K38" s="1"/>
  <c r="Q30"/>
  <c r="Q29"/>
  <c r="Q28"/>
  <c r="Q27"/>
  <c r="K27"/>
  <c r="K33" s="1"/>
  <c r="N66" s="1"/>
  <c r="Q22"/>
  <c r="Q21"/>
  <c r="Q20"/>
  <c r="Q19"/>
  <c r="Q18"/>
  <c r="Q17"/>
  <c r="Q12"/>
  <c r="H12"/>
  <c r="B20" s="1"/>
  <c r="Q11"/>
  <c r="Q10"/>
  <c r="Q9"/>
  <c r="Q8"/>
  <c r="Q7"/>
  <c r="Q6"/>
  <c r="H6"/>
  <c r="M1"/>
  <c r="C140" i="104"/>
  <c r="M139"/>
  <c r="M141" s="1"/>
  <c r="M143" s="1"/>
  <c r="M145" s="1"/>
  <c r="M147" s="1"/>
  <c r="C138"/>
  <c r="C137"/>
  <c r="C136"/>
  <c r="C135"/>
  <c r="C134"/>
  <c r="J123"/>
  <c r="J121"/>
  <c r="J87"/>
  <c r="J93" s="1"/>
  <c r="J80"/>
  <c r="J78"/>
  <c r="N74"/>
  <c r="K65" s="1"/>
  <c r="N65"/>
  <c r="J60"/>
  <c r="J81" s="1"/>
  <c r="N56"/>
  <c r="N57" s="1"/>
  <c r="J49"/>
  <c r="K39"/>
  <c r="K37"/>
  <c r="K38" s="1"/>
  <c r="K36"/>
  <c r="Q30"/>
  <c r="Q29"/>
  <c r="Q28"/>
  <c r="Q27"/>
  <c r="K27"/>
  <c r="K33" s="1"/>
  <c r="Q22"/>
  <c r="Q21"/>
  <c r="Q20"/>
  <c r="Q19"/>
  <c r="Q18"/>
  <c r="Q17"/>
  <c r="Q12"/>
  <c r="H12"/>
  <c r="B20" s="1"/>
  <c r="Q11"/>
  <c r="Q10"/>
  <c r="Q9"/>
  <c r="Q8"/>
  <c r="Q7"/>
  <c r="Q6"/>
  <c r="H6"/>
  <c r="M1"/>
  <c r="C140" i="103"/>
  <c r="M141"/>
  <c r="M143" s="1"/>
  <c r="M145" s="1"/>
  <c r="M147" s="1"/>
  <c r="C138"/>
  <c r="C137"/>
  <c r="C136"/>
  <c r="C135"/>
  <c r="C134"/>
  <c r="J123"/>
  <c r="J121"/>
  <c r="J87"/>
  <c r="J93" s="1"/>
  <c r="J80"/>
  <c r="J78"/>
  <c r="N74"/>
  <c r="K65" s="1"/>
  <c r="N65"/>
  <c r="J60"/>
  <c r="N56"/>
  <c r="N57" s="1"/>
  <c r="J49"/>
  <c r="K39"/>
  <c r="K37"/>
  <c r="K38" s="1"/>
  <c r="K36"/>
  <c r="Q30"/>
  <c r="Q29"/>
  <c r="Q28"/>
  <c r="Q27"/>
  <c r="K27"/>
  <c r="K33" s="1"/>
  <c r="Q22"/>
  <c r="Q21"/>
  <c r="Q20"/>
  <c r="Q19"/>
  <c r="Q18"/>
  <c r="Q17"/>
  <c r="Q12"/>
  <c r="H12"/>
  <c r="B20" s="1"/>
  <c r="Q11"/>
  <c r="Q10"/>
  <c r="Q9"/>
  <c r="Q8"/>
  <c r="Q7"/>
  <c r="Q6"/>
  <c r="H6"/>
  <c r="M1"/>
  <c r="C140" i="102"/>
  <c r="M139"/>
  <c r="M141" s="1"/>
  <c r="C138"/>
  <c r="C137"/>
  <c r="C136"/>
  <c r="C135"/>
  <c r="C134"/>
  <c r="J123"/>
  <c r="J121"/>
  <c r="J87"/>
  <c r="J93" s="1"/>
  <c r="J80"/>
  <c r="J78"/>
  <c r="N74"/>
  <c r="K65" s="1"/>
  <c r="N65"/>
  <c r="J60"/>
  <c r="J81" s="1"/>
  <c r="N56"/>
  <c r="N57" s="1"/>
  <c r="J49"/>
  <c r="K39"/>
  <c r="K37"/>
  <c r="K38" s="1"/>
  <c r="Q30"/>
  <c r="Q29"/>
  <c r="Q28"/>
  <c r="Q27"/>
  <c r="K27"/>
  <c r="K33" s="1"/>
  <c r="Q22"/>
  <c r="Q21"/>
  <c r="Q20"/>
  <c r="Q19"/>
  <c r="Q18"/>
  <c r="Q17"/>
  <c r="Q12"/>
  <c r="H12"/>
  <c r="B20" s="1"/>
  <c r="Q11"/>
  <c r="Q10"/>
  <c r="Q9"/>
  <c r="Q8"/>
  <c r="Q7"/>
  <c r="Q6"/>
  <c r="H6"/>
  <c r="M1"/>
  <c r="K43" i="108" l="1"/>
  <c r="K35" i="107"/>
  <c r="K40" s="1"/>
  <c r="K97" i="111"/>
  <c r="K102" s="1"/>
  <c r="K43" i="107"/>
  <c r="K73" i="108"/>
  <c r="K73" i="111"/>
  <c r="Q23" i="102"/>
  <c r="K109" s="1"/>
  <c r="K43" i="111"/>
  <c r="Q31" i="102"/>
  <c r="K110" s="1"/>
  <c r="Q31" i="104"/>
  <c r="K110" s="1"/>
  <c r="K135" i="108"/>
  <c r="K112" i="110"/>
  <c r="K139" s="1"/>
  <c r="Q13" i="104"/>
  <c r="K108" s="1"/>
  <c r="N67" i="105"/>
  <c r="P67" s="1"/>
  <c r="K63" s="1"/>
  <c r="Q23" i="106"/>
  <c r="K109" s="1"/>
  <c r="Q31"/>
  <c r="K110" s="1"/>
  <c r="K112" i="109"/>
  <c r="K139" s="1"/>
  <c r="Q31" i="103"/>
  <c r="K110" s="1"/>
  <c r="Q31" i="105"/>
  <c r="K110" s="1"/>
  <c r="N58"/>
  <c r="P58" s="1"/>
  <c r="K64" s="1"/>
  <c r="N58" i="106"/>
  <c r="P58" s="1"/>
  <c r="K64" s="1"/>
  <c r="M143"/>
  <c r="M145" s="1"/>
  <c r="M147" s="1"/>
  <c r="K41" i="107"/>
  <c r="K73" i="109"/>
  <c r="K35" i="110"/>
  <c r="K112" i="108"/>
  <c r="K139" s="1"/>
  <c r="Q23" i="104"/>
  <c r="K109" s="1"/>
  <c r="Q13" i="106"/>
  <c r="K108" s="1"/>
  <c r="Q13" i="102"/>
  <c r="K108" s="1"/>
  <c r="M143"/>
  <c r="M145" s="1"/>
  <c r="M147" s="1"/>
  <c r="Q13" i="103"/>
  <c r="K108" s="1"/>
  <c r="Q23"/>
  <c r="K109" s="1"/>
  <c r="J81"/>
  <c r="J83" s="1"/>
  <c r="J104" s="1"/>
  <c r="Q13" i="105"/>
  <c r="K108" s="1"/>
  <c r="Q23"/>
  <c r="K109" s="1"/>
  <c r="K112" i="111"/>
  <c r="K139" s="1"/>
  <c r="K35"/>
  <c r="K40" s="1"/>
  <c r="K35" i="109"/>
  <c r="K40" i="108"/>
  <c r="K41" s="1"/>
  <c r="K97"/>
  <c r="K34" i="106"/>
  <c r="N66"/>
  <c r="N67" s="1"/>
  <c r="P67" s="1"/>
  <c r="K63" s="1"/>
  <c r="J83"/>
  <c r="J104" s="1"/>
  <c r="K34" i="105"/>
  <c r="J83"/>
  <c r="J104" s="1"/>
  <c r="K34" i="104"/>
  <c r="K35" s="1"/>
  <c r="K40" s="1"/>
  <c r="N66"/>
  <c r="N67" s="1"/>
  <c r="P67" s="1"/>
  <c r="K63" s="1"/>
  <c r="J83"/>
  <c r="J104" s="1"/>
  <c r="N58"/>
  <c r="P58" s="1"/>
  <c r="K64" s="1"/>
  <c r="K34" i="103"/>
  <c r="N66"/>
  <c r="N67" s="1"/>
  <c r="P67" s="1"/>
  <c r="K63" s="1"/>
  <c r="N58"/>
  <c r="P58" s="1"/>
  <c r="K64" s="1"/>
  <c r="N66" i="102"/>
  <c r="N67" s="1"/>
  <c r="P67" s="1"/>
  <c r="K63" s="1"/>
  <c r="K34"/>
  <c r="J83"/>
  <c r="J104" s="1"/>
  <c r="N58"/>
  <c r="P58" s="1"/>
  <c r="K64" s="1"/>
  <c r="K42" i="109" l="1"/>
  <c r="K91" i="108"/>
  <c r="K82"/>
  <c r="K47"/>
  <c r="K48"/>
  <c r="K88"/>
  <c r="K92"/>
  <c r="K77"/>
  <c r="K89"/>
  <c r="K87"/>
  <c r="K90"/>
  <c r="K79"/>
  <c r="K80" s="1"/>
  <c r="K97" i="110"/>
  <c r="K102" s="1"/>
  <c r="K42" i="107"/>
  <c r="K135" s="1"/>
  <c r="K111" i="105"/>
  <c r="K138" s="1"/>
  <c r="K67" i="106"/>
  <c r="K73" s="1"/>
  <c r="K41" i="111"/>
  <c r="K79" s="1"/>
  <c r="K111" i="102"/>
  <c r="K138" s="1"/>
  <c r="K67"/>
  <c r="K73" s="1"/>
  <c r="K41" i="104"/>
  <c r="K82" s="1"/>
  <c r="K96"/>
  <c r="K97" s="1"/>
  <c r="K102" s="1"/>
  <c r="K36" i="110"/>
  <c r="K111" i="106"/>
  <c r="K138" s="1"/>
  <c r="K67" i="105"/>
  <c r="K73" s="1"/>
  <c r="K35" i="102"/>
  <c r="K67" i="104"/>
  <c r="K73" s="1"/>
  <c r="K111" i="103"/>
  <c r="K138" s="1"/>
  <c r="K111" i="104"/>
  <c r="K138" s="1"/>
  <c r="K42" i="108"/>
  <c r="K77" i="107"/>
  <c r="K35" i="105"/>
  <c r="K35" i="106"/>
  <c r="K40" s="1"/>
  <c r="K96"/>
  <c r="K97" s="1"/>
  <c r="K102" s="1"/>
  <c r="K87" i="104"/>
  <c r="K35" i="103"/>
  <c r="K40" s="1"/>
  <c r="K96"/>
  <c r="K97" s="1"/>
  <c r="K102" s="1"/>
  <c r="K67"/>
  <c r="K73" s="1"/>
  <c r="K41" i="110" l="1"/>
  <c r="K42"/>
  <c r="K78" i="108"/>
  <c r="K83" s="1"/>
  <c r="K49"/>
  <c r="K91" i="111"/>
  <c r="K89"/>
  <c r="K87"/>
  <c r="K90"/>
  <c r="K93" s="1"/>
  <c r="K101" s="1"/>
  <c r="K103" s="1"/>
  <c r="K138" s="1"/>
  <c r="K81"/>
  <c r="K80"/>
  <c r="K42"/>
  <c r="K92"/>
  <c r="K82"/>
  <c r="K88"/>
  <c r="K92" i="104"/>
  <c r="K79"/>
  <c r="K101" i="107"/>
  <c r="K103" s="1"/>
  <c r="K138" s="1"/>
  <c r="K81" i="104"/>
  <c r="K90"/>
  <c r="K80"/>
  <c r="K89"/>
  <c r="K42"/>
  <c r="K59" s="1"/>
  <c r="K83" i="107"/>
  <c r="K137" s="1"/>
  <c r="K48" i="104"/>
  <c r="K91"/>
  <c r="K88"/>
  <c r="K93" s="1"/>
  <c r="K47"/>
  <c r="K49" s="1"/>
  <c r="K71" s="1"/>
  <c r="K96" i="102"/>
  <c r="K97" s="1"/>
  <c r="K102" s="1"/>
  <c r="K36"/>
  <c r="K41" s="1"/>
  <c r="K93" i="108"/>
  <c r="K101" s="1"/>
  <c r="K103" s="1"/>
  <c r="K138" s="1"/>
  <c r="K135" i="111"/>
  <c r="K78"/>
  <c r="K36" i="105"/>
  <c r="K41" s="1"/>
  <c r="K41" i="106"/>
  <c r="K96" i="105"/>
  <c r="K97" s="1"/>
  <c r="K102" s="1"/>
  <c r="K77" i="104"/>
  <c r="K52"/>
  <c r="K41" i="103"/>
  <c r="K59" i="108" l="1"/>
  <c r="K54"/>
  <c r="K56"/>
  <c r="K53"/>
  <c r="K58"/>
  <c r="K55"/>
  <c r="K52"/>
  <c r="K60" s="1"/>
  <c r="K57"/>
  <c r="K47" i="111"/>
  <c r="K48"/>
  <c r="K77"/>
  <c r="K83" s="1"/>
  <c r="K137" s="1"/>
  <c r="K58" i="104"/>
  <c r="K56"/>
  <c r="K134"/>
  <c r="K57"/>
  <c r="K53"/>
  <c r="K55"/>
  <c r="K78"/>
  <c r="K54"/>
  <c r="K72" i="107"/>
  <c r="K91" i="102"/>
  <c r="K88"/>
  <c r="K92"/>
  <c r="K81"/>
  <c r="K87"/>
  <c r="K47"/>
  <c r="K80"/>
  <c r="K82"/>
  <c r="K90"/>
  <c r="K89"/>
  <c r="K42"/>
  <c r="K79"/>
  <c r="K48"/>
  <c r="K137" i="108"/>
  <c r="K135" i="110"/>
  <c r="K135" i="109"/>
  <c r="K137"/>
  <c r="K93"/>
  <c r="K90" i="105"/>
  <c r="K79"/>
  <c r="K89"/>
  <c r="K48"/>
  <c r="K91"/>
  <c r="K82"/>
  <c r="K42"/>
  <c r="K92"/>
  <c r="K88"/>
  <c r="K47"/>
  <c r="K87"/>
  <c r="K80"/>
  <c r="K81"/>
  <c r="K91" i="106"/>
  <c r="K87"/>
  <c r="K82"/>
  <c r="K42"/>
  <c r="K90"/>
  <c r="K79"/>
  <c r="K92"/>
  <c r="K89"/>
  <c r="K48"/>
  <c r="K88"/>
  <c r="K80"/>
  <c r="K47"/>
  <c r="K81"/>
  <c r="K83" i="104"/>
  <c r="K136" s="1"/>
  <c r="K101"/>
  <c r="K103" s="1"/>
  <c r="K137" s="1"/>
  <c r="K91" i="103"/>
  <c r="K87"/>
  <c r="K82"/>
  <c r="K42"/>
  <c r="K90"/>
  <c r="K79"/>
  <c r="K89"/>
  <c r="K48"/>
  <c r="K92"/>
  <c r="K88"/>
  <c r="K80"/>
  <c r="K47"/>
  <c r="K49" s="1"/>
  <c r="K71" s="1"/>
  <c r="K81"/>
  <c r="K60" i="104" l="1"/>
  <c r="K72" s="1"/>
  <c r="K74" s="1"/>
  <c r="K135" s="1"/>
  <c r="K139" s="1"/>
  <c r="K137" i="110"/>
  <c r="K49" i="111"/>
  <c r="K101" i="110"/>
  <c r="K103" s="1"/>
  <c r="K138" s="1"/>
  <c r="K59" i="102"/>
  <c r="K57"/>
  <c r="K78"/>
  <c r="K54"/>
  <c r="K53"/>
  <c r="K55"/>
  <c r="K56"/>
  <c r="K134"/>
  <c r="K52"/>
  <c r="K77"/>
  <c r="K58"/>
  <c r="K49"/>
  <c r="K71" s="1"/>
  <c r="K93"/>
  <c r="K101" s="1"/>
  <c r="K103" s="1"/>
  <c r="K137" s="1"/>
  <c r="K101" i="109"/>
  <c r="K103" s="1"/>
  <c r="K138" s="1"/>
  <c r="K60"/>
  <c r="K72" i="108"/>
  <c r="K93" i="106"/>
  <c r="K93" i="105"/>
  <c r="K57"/>
  <c r="K54"/>
  <c r="K53"/>
  <c r="K134"/>
  <c r="K77"/>
  <c r="K58"/>
  <c r="K56"/>
  <c r="K52"/>
  <c r="K59"/>
  <c r="K55"/>
  <c r="K78"/>
  <c r="K49"/>
  <c r="K71" s="1"/>
  <c r="K49" i="106"/>
  <c r="K71" s="1"/>
  <c r="K134"/>
  <c r="K77"/>
  <c r="K59"/>
  <c r="K55"/>
  <c r="K57"/>
  <c r="K54"/>
  <c r="K52"/>
  <c r="K53"/>
  <c r="K58"/>
  <c r="K56"/>
  <c r="K78"/>
  <c r="K114" i="104"/>
  <c r="K104"/>
  <c r="K134" i="103"/>
  <c r="K77"/>
  <c r="K59"/>
  <c r="K55"/>
  <c r="K57"/>
  <c r="K54"/>
  <c r="K53"/>
  <c r="K58"/>
  <c r="K56"/>
  <c r="K52"/>
  <c r="K78"/>
  <c r="K93"/>
  <c r="K55" i="111" l="1"/>
  <c r="K54"/>
  <c r="K56"/>
  <c r="K59"/>
  <c r="K57"/>
  <c r="K58"/>
  <c r="K53"/>
  <c r="K52"/>
  <c r="K72" i="109"/>
  <c r="K71" i="107"/>
  <c r="K74" s="1"/>
  <c r="K136" s="1"/>
  <c r="K104"/>
  <c r="K83" i="105"/>
  <c r="K136" s="1"/>
  <c r="K83" i="102"/>
  <c r="K136" s="1"/>
  <c r="K60"/>
  <c r="K72" s="1"/>
  <c r="K74" s="1"/>
  <c r="K135" s="1"/>
  <c r="K139" s="1"/>
  <c r="K114" s="1"/>
  <c r="K115" s="1"/>
  <c r="K104"/>
  <c r="K60" i="106"/>
  <c r="K72" s="1"/>
  <c r="K74" s="1"/>
  <c r="K135" s="1"/>
  <c r="K60" i="105"/>
  <c r="K72" s="1"/>
  <c r="K74" s="1"/>
  <c r="K135" s="1"/>
  <c r="K101"/>
  <c r="K103" s="1"/>
  <c r="K137" s="1"/>
  <c r="K83" i="106"/>
  <c r="K136" s="1"/>
  <c r="K101"/>
  <c r="K103" s="1"/>
  <c r="K137" s="1"/>
  <c r="K115" i="104"/>
  <c r="K141" s="1"/>
  <c r="K60" i="103"/>
  <c r="K72" s="1"/>
  <c r="K74" s="1"/>
  <c r="K135" s="1"/>
  <c r="K83"/>
  <c r="K136" s="1"/>
  <c r="K101"/>
  <c r="K103" s="1"/>
  <c r="K137" s="1"/>
  <c r="K60" i="111" l="1"/>
  <c r="L60"/>
  <c r="K139" i="106"/>
  <c r="K49" i="110"/>
  <c r="K49" i="109"/>
  <c r="K71" s="1"/>
  <c r="K74" s="1"/>
  <c r="K136" s="1"/>
  <c r="K140" s="1"/>
  <c r="K115" s="1"/>
  <c r="K116" s="1"/>
  <c r="K142" s="1"/>
  <c r="K144" s="1"/>
  <c r="K71" i="108"/>
  <c r="K74" s="1"/>
  <c r="K136" s="1"/>
  <c r="K140" s="1"/>
  <c r="K115" s="1"/>
  <c r="K116" s="1"/>
  <c r="K142" s="1"/>
  <c r="K104"/>
  <c r="K139" i="103"/>
  <c r="K139" i="105"/>
  <c r="K71" i="111"/>
  <c r="K104" i="105"/>
  <c r="K143" i="104"/>
  <c r="K141" i="102"/>
  <c r="K143" s="1"/>
  <c r="K114" i="105"/>
  <c r="K114" i="106"/>
  <c r="K104"/>
  <c r="K126" i="104"/>
  <c r="K128" s="1"/>
  <c r="K114" i="103"/>
  <c r="K104"/>
  <c r="K126" i="102"/>
  <c r="K128" s="1"/>
  <c r="K53" i="110" l="1"/>
  <c r="K52"/>
  <c r="K54"/>
  <c r="K58"/>
  <c r="K55"/>
  <c r="K56"/>
  <c r="K57"/>
  <c r="H36" i="113"/>
  <c r="K72" i="111"/>
  <c r="K104"/>
  <c r="K71" i="110"/>
  <c r="K104" i="109"/>
  <c r="K74" i="111"/>
  <c r="K136" s="1"/>
  <c r="K140" s="1"/>
  <c r="K144" i="108"/>
  <c r="K146" s="1"/>
  <c r="K147" s="1"/>
  <c r="K127" i="109"/>
  <c r="K129" s="1"/>
  <c r="K118" s="1"/>
  <c r="K146"/>
  <c r="K147" s="1"/>
  <c r="K127" i="108"/>
  <c r="K129" s="1"/>
  <c r="K145" i="104"/>
  <c r="K146" s="1"/>
  <c r="L118"/>
  <c r="L118" i="102"/>
  <c r="K145"/>
  <c r="K146" s="1"/>
  <c r="K115" i="106"/>
  <c r="K141" s="1"/>
  <c r="K115" i="105"/>
  <c r="K141" s="1"/>
  <c r="K143" s="1"/>
  <c r="K120" i="104"/>
  <c r="K130"/>
  <c r="K118"/>
  <c r="K117"/>
  <c r="K115" i="103"/>
  <c r="K141" s="1"/>
  <c r="K120" i="102"/>
  <c r="K117"/>
  <c r="K130"/>
  <c r="K118"/>
  <c r="I36" i="113" l="1"/>
  <c r="J36" s="1"/>
  <c r="K60" i="110"/>
  <c r="H30" i="113"/>
  <c r="I30" s="1"/>
  <c r="J30" s="1"/>
  <c r="K115" i="111"/>
  <c r="K116" s="1"/>
  <c r="K142" s="1"/>
  <c r="K131" i="109"/>
  <c r="K119"/>
  <c r="K121"/>
  <c r="K131" i="108"/>
  <c r="K119"/>
  <c r="K118"/>
  <c r="K121"/>
  <c r="K121" i="102"/>
  <c r="K140" s="1"/>
  <c r="K126" i="105"/>
  <c r="K128" s="1"/>
  <c r="K126" i="106"/>
  <c r="K128" s="1"/>
  <c r="K143"/>
  <c r="K145" s="1"/>
  <c r="K146" s="1"/>
  <c r="K121" i="104"/>
  <c r="K140" s="1"/>
  <c r="K143" i="103"/>
  <c r="K145" s="1"/>
  <c r="K146" s="1"/>
  <c r="K126"/>
  <c r="K128" s="1"/>
  <c r="K72" i="110" l="1"/>
  <c r="K74" s="1"/>
  <c r="K136" s="1"/>
  <c r="K140" s="1"/>
  <c r="K104"/>
  <c r="K144" i="111"/>
  <c r="K127"/>
  <c r="K129" s="1"/>
  <c r="K122" i="109"/>
  <c r="K141" s="1"/>
  <c r="K122" i="108"/>
  <c r="K141" s="1"/>
  <c r="K130" i="105"/>
  <c r="K118"/>
  <c r="K120"/>
  <c r="K117"/>
  <c r="L118"/>
  <c r="K145"/>
  <c r="K146" s="1"/>
  <c r="L118" i="106"/>
  <c r="K120"/>
  <c r="K130"/>
  <c r="K118"/>
  <c r="K117"/>
  <c r="K120" i="103"/>
  <c r="K130"/>
  <c r="K118"/>
  <c r="K117"/>
  <c r="L118"/>
  <c r="H43" i="113" l="1"/>
  <c r="I43" s="1"/>
  <c r="J43" s="1"/>
  <c r="K115" i="110"/>
  <c r="K116" s="1"/>
  <c r="K142" s="1"/>
  <c r="K144" s="1"/>
  <c r="K146" i="111"/>
  <c r="K147" s="1"/>
  <c r="K121" i="106"/>
  <c r="K140" s="1"/>
  <c r="K121" i="111"/>
  <c r="K131"/>
  <c r="K119"/>
  <c r="K118"/>
  <c r="K121" i="105"/>
  <c r="K140" s="1"/>
  <c r="K121" i="103"/>
  <c r="K140" s="1"/>
  <c r="I44" i="113" l="1"/>
  <c r="I45" s="1"/>
  <c r="K127" i="110"/>
  <c r="K129" s="1"/>
  <c r="K121" s="1"/>
  <c r="L144"/>
  <c r="L146" s="1"/>
  <c r="K146"/>
  <c r="K147" s="1"/>
  <c r="L119"/>
  <c r="L121" s="1"/>
  <c r="H37" i="113"/>
  <c r="I37" s="1"/>
  <c r="K122" i="111"/>
  <c r="K141" s="1"/>
  <c r="Q21" i="97"/>
  <c r="Q31"/>
  <c r="Q32"/>
  <c r="C141" i="101"/>
  <c r="C139"/>
  <c r="C138"/>
  <c r="C137"/>
  <c r="C136"/>
  <c r="C135"/>
  <c r="J124"/>
  <c r="J93"/>
  <c r="J80"/>
  <c r="J78"/>
  <c r="J60"/>
  <c r="J49"/>
  <c r="K39"/>
  <c r="K37"/>
  <c r="K38" s="1"/>
  <c r="K27"/>
  <c r="K33" s="1"/>
  <c r="H12"/>
  <c r="B20" s="1"/>
  <c r="J37" i="113" l="1"/>
  <c r="I38"/>
  <c r="I39" s="1"/>
  <c r="K119" i="110"/>
  <c r="K131"/>
  <c r="K118"/>
  <c r="K34" i="101"/>
  <c r="N57"/>
  <c r="N58" s="1"/>
  <c r="P58" s="1"/>
  <c r="K63" s="1"/>
  <c r="J81"/>
  <c r="J122"/>
  <c r="K122" i="110" l="1"/>
  <c r="K141" s="1"/>
  <c r="K35" i="101"/>
  <c r="K36" s="1"/>
  <c r="K97"/>
  <c r="K102" s="1"/>
  <c r="K112"/>
  <c r="K139" s="1"/>
  <c r="K67"/>
  <c r="K73" s="1"/>
  <c r="J83"/>
  <c r="J104" s="1"/>
  <c r="K42" l="1"/>
  <c r="K135" l="1"/>
  <c r="K101"/>
  <c r="K60" l="1"/>
  <c r="K137"/>
  <c r="K103"/>
  <c r="K138" s="1"/>
  <c r="K72" l="1"/>
  <c r="K71" l="1"/>
  <c r="K74" s="1"/>
  <c r="K136" s="1"/>
  <c r="K140" s="1"/>
  <c r="K104"/>
  <c r="K115" l="1"/>
  <c r="K116" s="1"/>
  <c r="K142" s="1"/>
  <c r="K144" s="1"/>
  <c r="K146" s="1"/>
  <c r="K147" s="1"/>
  <c r="K127" l="1"/>
  <c r="K129" s="1"/>
  <c r="K131" s="1"/>
  <c r="H28" i="113"/>
  <c r="I28" s="1"/>
  <c r="J28" s="1"/>
  <c r="K121" i="101" l="1"/>
  <c r="K118"/>
  <c r="K119"/>
  <c r="J118" i="98"/>
  <c r="J117"/>
  <c r="C178" i="100"/>
  <c r="D178" s="1" a="1"/>
  <c r="H178" s="1"/>
  <c r="M178" s="1"/>
  <c r="C172"/>
  <c r="N172" s="1"/>
  <c r="C167"/>
  <c r="C161"/>
  <c r="O161" s="1"/>
  <c r="O155"/>
  <c r="D155" a="1"/>
  <c r="H155" s="1"/>
  <c r="M155" s="1"/>
  <c r="C155"/>
  <c r="N155" s="1"/>
  <c r="C149"/>
  <c r="N149" s="1"/>
  <c r="C143"/>
  <c r="C137"/>
  <c r="O137" s="1"/>
  <c r="C131"/>
  <c r="N131" s="1"/>
  <c r="C125"/>
  <c r="N125" s="1"/>
  <c r="C120"/>
  <c r="C114"/>
  <c r="O114" s="1"/>
  <c r="C107"/>
  <c r="N107" s="1"/>
  <c r="C101"/>
  <c r="N101" s="1"/>
  <c r="C95"/>
  <c r="C89"/>
  <c r="O89" s="1"/>
  <c r="D83" a="1"/>
  <c r="H83" s="1"/>
  <c r="C83"/>
  <c r="N83" s="1"/>
  <c r="C77"/>
  <c r="N77" s="1"/>
  <c r="C71"/>
  <c r="C65"/>
  <c r="O65" s="1"/>
  <c r="C59"/>
  <c r="N59" s="1"/>
  <c r="D53" a="1"/>
  <c r="C53"/>
  <c r="N53" s="1"/>
  <c r="C47"/>
  <c r="C41"/>
  <c r="O41" s="1"/>
  <c r="C35"/>
  <c r="N35" s="1"/>
  <c r="C29"/>
  <c r="N29" s="1"/>
  <c r="C23"/>
  <c r="N23" s="1"/>
  <c r="K122" i="101" l="1"/>
  <c r="K141" s="1"/>
  <c r="D107" i="100" a="1"/>
  <c r="F107" s="1"/>
  <c r="K107" s="1"/>
  <c r="D59" a="1"/>
  <c r="H59" s="1"/>
  <c r="O107"/>
  <c r="O59"/>
  <c r="D131" a="1"/>
  <c r="F131" s="1"/>
  <c r="K131" s="1"/>
  <c r="D29" a="1"/>
  <c r="D29" s="1"/>
  <c r="I29" s="1"/>
  <c r="O83"/>
  <c r="O131"/>
  <c r="O29"/>
  <c r="D77" a="1"/>
  <c r="H77" s="1"/>
  <c r="M77" s="1"/>
  <c r="D101" a="1"/>
  <c r="G101" s="1"/>
  <c r="D125" a="1"/>
  <c r="G125" s="1"/>
  <c r="D149" a="1"/>
  <c r="G149" s="1"/>
  <c r="L149" s="1"/>
  <c r="O77"/>
  <c r="O101"/>
  <c r="O125"/>
  <c r="O149"/>
  <c r="G29"/>
  <c r="O53"/>
  <c r="E53"/>
  <c r="H53"/>
  <c r="M53" s="1"/>
  <c r="D53"/>
  <c r="I53" s="1"/>
  <c r="E77"/>
  <c r="J77" s="1"/>
  <c r="D77"/>
  <c r="I77" s="1"/>
  <c r="E107"/>
  <c r="O120"/>
  <c r="D120" a="1"/>
  <c r="E131"/>
  <c r="O143"/>
  <c r="D143" a="1"/>
  <c r="D23" a="1"/>
  <c r="O23"/>
  <c r="H29"/>
  <c r="M29" s="1"/>
  <c r="L29"/>
  <c r="F53"/>
  <c r="K53" s="1"/>
  <c r="D59"/>
  <c r="F77"/>
  <c r="K77" s="1"/>
  <c r="D83"/>
  <c r="I83" s="1"/>
  <c r="F101"/>
  <c r="K101" s="1"/>
  <c r="F125"/>
  <c r="K125" s="1"/>
  <c r="D131"/>
  <c r="I131" s="1"/>
  <c r="D155"/>
  <c r="I155" s="1"/>
  <c r="G59"/>
  <c r="L59" s="1"/>
  <c r="N71"/>
  <c r="G77"/>
  <c r="G83"/>
  <c r="L83" s="1"/>
  <c r="N95"/>
  <c r="G107"/>
  <c r="L107" s="1"/>
  <c r="N120"/>
  <c r="N143"/>
  <c r="G155"/>
  <c r="L155" s="1"/>
  <c r="N167"/>
  <c r="O35"/>
  <c r="N47"/>
  <c r="G53"/>
  <c r="L53" s="1"/>
  <c r="F29"/>
  <c r="K29" s="1"/>
  <c r="D35" a="1"/>
  <c r="J53"/>
  <c r="L77"/>
  <c r="L101"/>
  <c r="H107"/>
  <c r="M107" s="1"/>
  <c r="L125"/>
  <c r="O172"/>
  <c r="D172" a="1"/>
  <c r="O47"/>
  <c r="D47" a="1"/>
  <c r="F59"/>
  <c r="K59" s="1"/>
  <c r="E59"/>
  <c r="J59" s="1"/>
  <c r="O71"/>
  <c r="D71" a="1"/>
  <c r="F83"/>
  <c r="K83" s="1"/>
  <c r="E83"/>
  <c r="J83" s="1"/>
  <c r="O95"/>
  <c r="D95" a="1"/>
  <c r="E101"/>
  <c r="J101" s="1"/>
  <c r="H101"/>
  <c r="M101" s="1"/>
  <c r="D101"/>
  <c r="I101" s="1"/>
  <c r="H125"/>
  <c r="M125" s="1"/>
  <c r="D125"/>
  <c r="I125" s="1"/>
  <c r="E149"/>
  <c r="J149" s="1"/>
  <c r="F155"/>
  <c r="K155" s="1"/>
  <c r="E155"/>
  <c r="J155" s="1"/>
  <c r="O167"/>
  <c r="D167" a="1"/>
  <c r="N41"/>
  <c r="I59"/>
  <c r="M59"/>
  <c r="N65"/>
  <c r="M83"/>
  <c r="N89"/>
  <c r="N114"/>
  <c r="N137"/>
  <c r="N161"/>
  <c r="E178"/>
  <c r="J178" s="1"/>
  <c r="D41" a="1"/>
  <c r="D65" a="1"/>
  <c r="D89" a="1"/>
  <c r="J107"/>
  <c r="D114" a="1"/>
  <c r="J131"/>
  <c r="D137" a="1"/>
  <c r="D161" a="1"/>
  <c r="F178"/>
  <c r="K178" s="1"/>
  <c r="N178"/>
  <c r="G178"/>
  <c r="L178" s="1"/>
  <c r="O178"/>
  <c r="D178"/>
  <c r="I178" s="1"/>
  <c r="H131" l="1"/>
  <c r="M131" s="1"/>
  <c r="G131"/>
  <c r="L131" s="1"/>
  <c r="E29"/>
  <c r="J29" s="1"/>
  <c r="D107"/>
  <c r="I107" s="1"/>
  <c r="P107" s="1"/>
  <c r="D149"/>
  <c r="I149" s="1"/>
  <c r="E125"/>
  <c r="J125" s="1"/>
  <c r="H149"/>
  <c r="M149" s="1"/>
  <c r="F149"/>
  <c r="K149" s="1"/>
  <c r="P149" s="1"/>
  <c r="P101"/>
  <c r="P125"/>
  <c r="G114"/>
  <c r="L114" s="1"/>
  <c r="F114"/>
  <c r="K114" s="1"/>
  <c r="H114"/>
  <c r="M114" s="1"/>
  <c r="E114"/>
  <c r="J114" s="1"/>
  <c r="D114"/>
  <c r="I114" s="1"/>
  <c r="P131"/>
  <c r="P83"/>
  <c r="P59"/>
  <c r="H167"/>
  <c r="M167" s="1"/>
  <c r="D167"/>
  <c r="I167" s="1"/>
  <c r="G167"/>
  <c r="L167" s="1"/>
  <c r="F167"/>
  <c r="K167" s="1"/>
  <c r="E167"/>
  <c r="J167" s="1"/>
  <c r="F23"/>
  <c r="K23" s="1"/>
  <c r="E23"/>
  <c r="J23" s="1"/>
  <c r="H23"/>
  <c r="M23" s="1"/>
  <c r="D23"/>
  <c r="I23" s="1"/>
  <c r="G23"/>
  <c r="L23" s="1"/>
  <c r="H120"/>
  <c r="M120" s="1"/>
  <c r="D120"/>
  <c r="I120" s="1"/>
  <c r="G120"/>
  <c r="L120" s="1"/>
  <c r="F120"/>
  <c r="K120" s="1"/>
  <c r="E120"/>
  <c r="J120" s="1"/>
  <c r="G41"/>
  <c r="L41" s="1"/>
  <c r="F41"/>
  <c r="K41" s="1"/>
  <c r="H41"/>
  <c r="M41" s="1"/>
  <c r="E41"/>
  <c r="J41" s="1"/>
  <c r="D41"/>
  <c r="I41" s="1"/>
  <c r="G172"/>
  <c r="L172" s="1"/>
  <c r="E172"/>
  <c r="J172" s="1"/>
  <c r="H172"/>
  <c r="M172" s="1"/>
  <c r="D172"/>
  <c r="I172" s="1"/>
  <c r="F172"/>
  <c r="K172" s="1"/>
  <c r="H35"/>
  <c r="M35" s="1"/>
  <c r="D35"/>
  <c r="I35" s="1"/>
  <c r="G35"/>
  <c r="L35" s="1"/>
  <c r="F35"/>
  <c r="K35" s="1"/>
  <c r="E35"/>
  <c r="J35" s="1"/>
  <c r="P29"/>
  <c r="H143"/>
  <c r="M143" s="1"/>
  <c r="D143"/>
  <c r="I143" s="1"/>
  <c r="G143"/>
  <c r="L143" s="1"/>
  <c r="F143"/>
  <c r="K143" s="1"/>
  <c r="E143"/>
  <c r="J143" s="1"/>
  <c r="H47"/>
  <c r="M47" s="1"/>
  <c r="D47"/>
  <c r="I47" s="1"/>
  <c r="G47"/>
  <c r="L47" s="1"/>
  <c r="F47"/>
  <c r="K47" s="1"/>
  <c r="E47"/>
  <c r="J47" s="1"/>
  <c r="P178"/>
  <c r="G161"/>
  <c r="L161" s="1"/>
  <c r="F161"/>
  <c r="K161" s="1"/>
  <c r="H161"/>
  <c r="M161" s="1"/>
  <c r="E161"/>
  <c r="J161" s="1"/>
  <c r="D161"/>
  <c r="I161" s="1"/>
  <c r="G65"/>
  <c r="L65" s="1"/>
  <c r="F65"/>
  <c r="K65" s="1"/>
  <c r="H65"/>
  <c r="M65" s="1"/>
  <c r="E65"/>
  <c r="J65" s="1"/>
  <c r="D65"/>
  <c r="I65" s="1"/>
  <c r="H71"/>
  <c r="M71" s="1"/>
  <c r="D71"/>
  <c r="I71" s="1"/>
  <c r="G71"/>
  <c r="L71" s="1"/>
  <c r="F71"/>
  <c r="K71" s="1"/>
  <c r="E71"/>
  <c r="J71" s="1"/>
  <c r="P77"/>
  <c r="P53"/>
  <c r="P155"/>
  <c r="G137"/>
  <c r="L137" s="1"/>
  <c r="F137"/>
  <c r="K137" s="1"/>
  <c r="H137"/>
  <c r="M137" s="1"/>
  <c r="E137"/>
  <c r="J137" s="1"/>
  <c r="D137"/>
  <c r="I137" s="1"/>
  <c r="G89"/>
  <c r="L89" s="1"/>
  <c r="F89"/>
  <c r="K89" s="1"/>
  <c r="H89"/>
  <c r="M89" s="1"/>
  <c r="E89"/>
  <c r="J89" s="1"/>
  <c r="D89"/>
  <c r="I89" s="1"/>
  <c r="H95"/>
  <c r="M95" s="1"/>
  <c r="D95"/>
  <c r="I95" s="1"/>
  <c r="G95"/>
  <c r="L95" s="1"/>
  <c r="F95"/>
  <c r="K95" s="1"/>
  <c r="E95"/>
  <c r="J95" s="1"/>
  <c r="P95" l="1"/>
  <c r="P172"/>
  <c r="P120"/>
  <c r="P114"/>
  <c r="P161"/>
  <c r="P41"/>
  <c r="P143"/>
  <c r="P167"/>
  <c r="P65"/>
  <c r="P23"/>
  <c r="P89"/>
  <c r="P137"/>
  <c r="P71"/>
  <c r="P47"/>
  <c r="P35"/>
  <c r="J83" i="98" l="1"/>
  <c r="J81"/>
  <c r="J90"/>
  <c r="I84" i="93"/>
  <c r="J80" i="97"/>
  <c r="J93"/>
  <c r="M145" i="99"/>
  <c r="M148" s="1"/>
  <c r="C144"/>
  <c r="C142"/>
  <c r="C141"/>
  <c r="N140"/>
  <c r="N141" s="1"/>
  <c r="N142" s="1"/>
  <c r="C140"/>
  <c r="C139"/>
  <c r="C138"/>
  <c r="J127"/>
  <c r="J125"/>
  <c r="M120"/>
  <c r="L120"/>
  <c r="J97"/>
  <c r="J87"/>
  <c r="K67"/>
  <c r="J61"/>
  <c r="J50"/>
  <c r="K38"/>
  <c r="K39" s="1"/>
  <c r="J37"/>
  <c r="R36"/>
  <c r="J36"/>
  <c r="K40" s="1"/>
  <c r="R35"/>
  <c r="R30"/>
  <c r="R29"/>
  <c r="R28"/>
  <c r="K28"/>
  <c r="K34" s="1"/>
  <c r="R27"/>
  <c r="R26"/>
  <c r="R25"/>
  <c r="R20"/>
  <c r="R19"/>
  <c r="R18"/>
  <c r="R17"/>
  <c r="R16"/>
  <c r="R15"/>
  <c r="R14"/>
  <c r="R13"/>
  <c r="H13"/>
  <c r="B21" s="1"/>
  <c r="R12"/>
  <c r="R11"/>
  <c r="R10"/>
  <c r="R9"/>
  <c r="R8"/>
  <c r="H7"/>
  <c r="H6" i="98"/>
  <c r="R7"/>
  <c r="R8"/>
  <c r="R9"/>
  <c r="R10"/>
  <c r="R11"/>
  <c r="H12"/>
  <c r="B20" s="1"/>
  <c r="R12"/>
  <c r="R13"/>
  <c r="R14"/>
  <c r="R15"/>
  <c r="R16"/>
  <c r="R17"/>
  <c r="R18"/>
  <c r="R19"/>
  <c r="R24"/>
  <c r="R25"/>
  <c r="R26"/>
  <c r="K27"/>
  <c r="K33" s="1"/>
  <c r="R27"/>
  <c r="R28"/>
  <c r="R29"/>
  <c r="R34"/>
  <c r="J35"/>
  <c r="R35"/>
  <c r="J36"/>
  <c r="K37"/>
  <c r="K38" s="1"/>
  <c r="K39"/>
  <c r="J49"/>
  <c r="O50"/>
  <c r="O51" s="1"/>
  <c r="N52"/>
  <c r="N53"/>
  <c r="O54"/>
  <c r="O55" s="1"/>
  <c r="O56"/>
  <c r="J60"/>
  <c r="K66"/>
  <c r="J96"/>
  <c r="L119"/>
  <c r="M119"/>
  <c r="J124"/>
  <c r="J126"/>
  <c r="C137"/>
  <c r="C138"/>
  <c r="C139"/>
  <c r="N139"/>
  <c r="N140" s="1"/>
  <c r="N141" s="1"/>
  <c r="C140"/>
  <c r="C141"/>
  <c r="C143"/>
  <c r="M144"/>
  <c r="M147" s="1"/>
  <c r="C141" i="97"/>
  <c r="C139"/>
  <c r="C138"/>
  <c r="C137"/>
  <c r="C136"/>
  <c r="C135"/>
  <c r="J124"/>
  <c r="J60"/>
  <c r="J49"/>
  <c r="K36"/>
  <c r="Q30"/>
  <c r="Q25"/>
  <c r="Q20"/>
  <c r="K27"/>
  <c r="K33" s="1"/>
  <c r="Q19"/>
  <c r="Q18"/>
  <c r="Q17"/>
  <c r="B20"/>
  <c r="M144" i="96"/>
  <c r="M147" s="1"/>
  <c r="C143"/>
  <c r="C141"/>
  <c r="C140"/>
  <c r="N139"/>
  <c r="N140" s="1"/>
  <c r="N141" s="1"/>
  <c r="C139"/>
  <c r="C138"/>
  <c r="C137"/>
  <c r="J126"/>
  <c r="J124"/>
  <c r="M119"/>
  <c r="L119"/>
  <c r="J96"/>
  <c r="J86"/>
  <c r="K66"/>
  <c r="J60"/>
  <c r="J49"/>
  <c r="K37"/>
  <c r="K38" s="1"/>
  <c r="J36"/>
  <c r="R35"/>
  <c r="J35"/>
  <c r="K39" s="1"/>
  <c r="R34"/>
  <c r="R36" s="1"/>
  <c r="R29"/>
  <c r="R28"/>
  <c r="R27"/>
  <c r="K27"/>
  <c r="K33" s="1"/>
  <c r="R26"/>
  <c r="R25"/>
  <c r="R24"/>
  <c r="R19"/>
  <c r="R18"/>
  <c r="R17"/>
  <c r="R16"/>
  <c r="R15"/>
  <c r="R14"/>
  <c r="R13"/>
  <c r="R12"/>
  <c r="H12"/>
  <c r="B20" s="1"/>
  <c r="R11"/>
  <c r="R10"/>
  <c r="R9"/>
  <c r="R8"/>
  <c r="R7"/>
  <c r="H6"/>
  <c r="Q26" i="97" l="1"/>
  <c r="K109" s="1"/>
  <c r="K108"/>
  <c r="Q33"/>
  <c r="K110" s="1"/>
  <c r="N57"/>
  <c r="N58" s="1"/>
  <c r="O53" i="98"/>
  <c r="J108" i="99"/>
  <c r="R20" i="98"/>
  <c r="K111" s="1"/>
  <c r="R31" i="99"/>
  <c r="J107" i="96"/>
  <c r="R30" i="98"/>
  <c r="K112" s="1"/>
  <c r="R21" i="99"/>
  <c r="K112" s="1"/>
  <c r="R37"/>
  <c r="R20" i="96"/>
  <c r="K111" s="1"/>
  <c r="R30"/>
  <c r="K112" s="1"/>
  <c r="P58" i="97"/>
  <c r="K63" s="1"/>
  <c r="R36" i="98"/>
  <c r="J84"/>
  <c r="J86" s="1"/>
  <c r="J107" s="1"/>
  <c r="K64" i="99"/>
  <c r="K71" s="1"/>
  <c r="K77" s="1"/>
  <c r="K35"/>
  <c r="K36" s="1"/>
  <c r="S65"/>
  <c r="T65" s="1"/>
  <c r="K34" i="98"/>
  <c r="K105" s="1"/>
  <c r="K63"/>
  <c r="K70" s="1"/>
  <c r="K76" s="1"/>
  <c r="S64"/>
  <c r="T64" s="1"/>
  <c r="O52"/>
  <c r="K34" i="97"/>
  <c r="K63" i="96"/>
  <c r="K70" s="1"/>
  <c r="K76" s="1"/>
  <c r="K34"/>
  <c r="K99" s="1"/>
  <c r="K100" s="1"/>
  <c r="S64"/>
  <c r="T64" s="1"/>
  <c r="J83" i="97" l="1"/>
  <c r="K35" i="96"/>
  <c r="K113" i="99"/>
  <c r="K35" i="98"/>
  <c r="K115" i="99"/>
  <c r="K142" s="1"/>
  <c r="K114" i="98"/>
  <c r="K141" s="1"/>
  <c r="K105" i="96"/>
  <c r="K114"/>
  <c r="K141" s="1"/>
  <c r="K112" i="97"/>
  <c r="K139" s="1"/>
  <c r="K42" i="99"/>
  <c r="K37"/>
  <c r="K100"/>
  <c r="K101" s="1"/>
  <c r="K106"/>
  <c r="K36" i="98"/>
  <c r="K99"/>
  <c r="K100" s="1"/>
  <c r="K97" i="97"/>
  <c r="K102" s="1"/>
  <c r="K35"/>
  <c r="K40" s="1"/>
  <c r="K36" i="96"/>
  <c r="K41" s="1"/>
  <c r="J104" i="97" l="1"/>
  <c r="K41" i="98"/>
  <c r="K96" i="99"/>
  <c r="K92"/>
  <c r="K86"/>
  <c r="K43"/>
  <c r="K93"/>
  <c r="K48"/>
  <c r="K95"/>
  <c r="K91"/>
  <c r="K85"/>
  <c r="K94"/>
  <c r="K84"/>
  <c r="K49"/>
  <c r="K83"/>
  <c r="L70"/>
  <c r="K48" i="98"/>
  <c r="K83"/>
  <c r="K93"/>
  <c r="K84"/>
  <c r="K90"/>
  <c r="K94"/>
  <c r="K42"/>
  <c r="K85"/>
  <c r="K91"/>
  <c r="K95"/>
  <c r="K47"/>
  <c r="L69"/>
  <c r="K82"/>
  <c r="K92"/>
  <c r="K41" i="97"/>
  <c r="K95" i="96"/>
  <c r="K91"/>
  <c r="K85"/>
  <c r="K42"/>
  <c r="K92"/>
  <c r="K94"/>
  <c r="K90"/>
  <c r="K84"/>
  <c r="K93"/>
  <c r="K83"/>
  <c r="K48"/>
  <c r="K82"/>
  <c r="L69"/>
  <c r="K47"/>
  <c r="K96" l="1"/>
  <c r="K97" i="99"/>
  <c r="K105" s="1"/>
  <c r="K107" s="1"/>
  <c r="K141" s="1"/>
  <c r="K49" i="98"/>
  <c r="K74" s="1"/>
  <c r="K82" i="99"/>
  <c r="L69"/>
  <c r="K59"/>
  <c r="K60"/>
  <c r="K57"/>
  <c r="K55"/>
  <c r="K138"/>
  <c r="K81"/>
  <c r="K58"/>
  <c r="K56"/>
  <c r="K53"/>
  <c r="K54"/>
  <c r="K50"/>
  <c r="K75" s="1"/>
  <c r="K53" i="98"/>
  <c r="K52"/>
  <c r="K55"/>
  <c r="K57"/>
  <c r="K80"/>
  <c r="K137"/>
  <c r="K58"/>
  <c r="L68"/>
  <c r="K81"/>
  <c r="K54"/>
  <c r="K56"/>
  <c r="K59"/>
  <c r="K96"/>
  <c r="K81" i="96"/>
  <c r="L68"/>
  <c r="K58"/>
  <c r="K54"/>
  <c r="K137"/>
  <c r="K80"/>
  <c r="K86" s="1"/>
  <c r="K139" s="1"/>
  <c r="K57"/>
  <c r="K55"/>
  <c r="K52"/>
  <c r="K56"/>
  <c r="K53"/>
  <c r="K59"/>
  <c r="K104"/>
  <c r="K106" s="1"/>
  <c r="K140" s="1"/>
  <c r="K49"/>
  <c r="K74" s="1"/>
  <c r="K87" i="99" l="1"/>
  <c r="K140" s="1"/>
  <c r="K61"/>
  <c r="K60" i="98"/>
  <c r="K75" s="1"/>
  <c r="K77" s="1"/>
  <c r="K138" s="1"/>
  <c r="K104"/>
  <c r="K106" s="1"/>
  <c r="K140" s="1"/>
  <c r="K86"/>
  <c r="K139" s="1"/>
  <c r="K135" i="97"/>
  <c r="K60" i="96"/>
  <c r="K75" s="1"/>
  <c r="K77" s="1"/>
  <c r="K138" s="1"/>
  <c r="K142" s="1"/>
  <c r="K101" i="97" l="1"/>
  <c r="K103" s="1"/>
  <c r="K138" s="1"/>
  <c r="K137"/>
  <c r="K76" i="99"/>
  <c r="K78" s="1"/>
  <c r="K139" s="1"/>
  <c r="K143" s="1"/>
  <c r="K108"/>
  <c r="K142" i="98"/>
  <c r="K117" s="1"/>
  <c r="K107"/>
  <c r="K117" i="96"/>
  <c r="K107"/>
  <c r="K118" i="99" l="1"/>
  <c r="K118" i="98"/>
  <c r="K144" s="1"/>
  <c r="K118" i="96"/>
  <c r="K144" s="1"/>
  <c r="K119" i="99" l="1"/>
  <c r="K145" s="1"/>
  <c r="K130"/>
  <c r="K132" s="1"/>
  <c r="K129" i="98"/>
  <c r="K131" s="1"/>
  <c r="K133" s="1"/>
  <c r="K146"/>
  <c r="L149"/>
  <c r="K129" i="96"/>
  <c r="K131" s="1"/>
  <c r="L149"/>
  <c r="K146"/>
  <c r="K148" s="1"/>
  <c r="K149" s="1"/>
  <c r="K120" i="98" l="1"/>
  <c r="K148"/>
  <c r="K149" s="1"/>
  <c r="K121"/>
  <c r="K123"/>
  <c r="K134" i="99"/>
  <c r="K121"/>
  <c r="K124"/>
  <c r="K122"/>
  <c r="L150"/>
  <c r="K147"/>
  <c r="K123" i="96"/>
  <c r="K121"/>
  <c r="K133"/>
  <c r="K120"/>
  <c r="K124" l="1"/>
  <c r="K143" s="1"/>
  <c r="K124" i="98"/>
  <c r="K143" s="1"/>
  <c r="K149" i="99"/>
  <c r="K150" s="1"/>
  <c r="K125"/>
  <c r="K144" s="1"/>
  <c r="B143" i="37" l="1"/>
  <c r="B144" s="1"/>
  <c r="B145" s="1"/>
  <c r="F37"/>
  <c r="F36"/>
  <c r="F38" s="1"/>
  <c r="F31"/>
  <c r="F30"/>
  <c r="F29"/>
  <c r="F28"/>
  <c r="F27"/>
  <c r="F26"/>
  <c r="F21"/>
  <c r="F20"/>
  <c r="F19"/>
  <c r="F18"/>
  <c r="F17"/>
  <c r="F16"/>
  <c r="F15"/>
  <c r="F14"/>
  <c r="F13"/>
  <c r="F12"/>
  <c r="F11"/>
  <c r="F10"/>
  <c r="F9"/>
  <c r="F22" l="1"/>
  <c r="F32"/>
  <c r="D15" i="44"/>
  <c r="F15" s="1"/>
  <c r="D14"/>
  <c r="F14" s="1"/>
  <c r="D13"/>
  <c r="F13" s="1"/>
  <c r="D12"/>
  <c r="G12" s="1"/>
  <c r="H12" s="1"/>
  <c r="G14" l="1"/>
  <c r="H14" s="1"/>
  <c r="G15"/>
  <c r="H15" s="1"/>
  <c r="F12"/>
  <c r="H16" s="1"/>
  <c r="G13"/>
  <c r="H13" s="1"/>
  <c r="H18" s="1"/>
  <c r="M12"/>
  <c r="L148" i="94" l="1"/>
  <c r="L151" s="1"/>
  <c r="B145"/>
  <c r="B143"/>
  <c r="B142"/>
  <c r="B141"/>
  <c r="B140"/>
  <c r="B139"/>
  <c r="I128"/>
  <c r="I126"/>
  <c r="L123"/>
  <c r="I99"/>
  <c r="I101" s="1"/>
  <c r="I84"/>
  <c r="J72"/>
  <c r="J71"/>
  <c r="J69"/>
  <c r="J68"/>
  <c r="Q67"/>
  <c r="I63"/>
  <c r="I87" s="1"/>
  <c r="I52"/>
  <c r="J41"/>
  <c r="J39"/>
  <c r="J40" s="1"/>
  <c r="J38"/>
  <c r="P37"/>
  <c r="J37"/>
  <c r="J29"/>
  <c r="J35" s="1"/>
  <c r="G14"/>
  <c r="A22" s="1"/>
  <c r="G8"/>
  <c r="L148" i="93"/>
  <c r="L151" s="1"/>
  <c r="B145"/>
  <c r="B143"/>
  <c r="B142"/>
  <c r="B141"/>
  <c r="B140"/>
  <c r="B139"/>
  <c r="I128"/>
  <c r="I126"/>
  <c r="L123"/>
  <c r="I99"/>
  <c r="I101" s="1"/>
  <c r="J71"/>
  <c r="J69"/>
  <c r="J68"/>
  <c r="Q67"/>
  <c r="I63"/>
  <c r="I87" s="1"/>
  <c r="I89" s="1"/>
  <c r="I52"/>
  <c r="J41"/>
  <c r="J39"/>
  <c r="J40" s="1"/>
  <c r="J38"/>
  <c r="P37"/>
  <c r="J29"/>
  <c r="J35" s="1"/>
  <c r="G14"/>
  <c r="A22" s="1"/>
  <c r="G8"/>
  <c r="L148" i="92"/>
  <c r="L151" s="1"/>
  <c r="B145"/>
  <c r="B143"/>
  <c r="B142"/>
  <c r="B141"/>
  <c r="B140"/>
  <c r="B139"/>
  <c r="I128"/>
  <c r="I126"/>
  <c r="L123"/>
  <c r="I99"/>
  <c r="I101" s="1"/>
  <c r="I84"/>
  <c r="J72"/>
  <c r="J71"/>
  <c r="J69"/>
  <c r="J68"/>
  <c r="Q67"/>
  <c r="I63"/>
  <c r="I87" s="1"/>
  <c r="I52"/>
  <c r="J41"/>
  <c r="J39"/>
  <c r="J40" s="1"/>
  <c r="J38"/>
  <c r="P37"/>
  <c r="J37"/>
  <c r="J29"/>
  <c r="J35" s="1"/>
  <c r="G14"/>
  <c r="A22" s="1"/>
  <c r="G8"/>
  <c r="L148" i="91"/>
  <c r="L151" s="1"/>
  <c r="B145"/>
  <c r="B143"/>
  <c r="B142"/>
  <c r="B141"/>
  <c r="B140"/>
  <c r="B139"/>
  <c r="I128"/>
  <c r="I126"/>
  <c r="L123"/>
  <c r="I99"/>
  <c r="I101" s="1"/>
  <c r="I84"/>
  <c r="J71"/>
  <c r="J69"/>
  <c r="J68"/>
  <c r="Q67"/>
  <c r="I63"/>
  <c r="I87" s="1"/>
  <c r="I52"/>
  <c r="J41"/>
  <c r="J39"/>
  <c r="J40" s="1"/>
  <c r="J38"/>
  <c r="P37"/>
  <c r="J29"/>
  <c r="J35" s="1"/>
  <c r="G14"/>
  <c r="A22" s="1"/>
  <c r="G8"/>
  <c r="L148" i="90"/>
  <c r="L151" s="1"/>
  <c r="B145"/>
  <c r="B143"/>
  <c r="B142"/>
  <c r="B141"/>
  <c r="B140"/>
  <c r="B139"/>
  <c r="I128"/>
  <c r="I126"/>
  <c r="L123"/>
  <c r="I99"/>
  <c r="I101" s="1"/>
  <c r="I84"/>
  <c r="J72"/>
  <c r="J71"/>
  <c r="J69"/>
  <c r="J68"/>
  <c r="Q67"/>
  <c r="I63"/>
  <c r="I87" s="1"/>
  <c r="I52"/>
  <c r="J41"/>
  <c r="J39"/>
  <c r="J40" s="1"/>
  <c r="J38"/>
  <c r="P37"/>
  <c r="J37"/>
  <c r="J29"/>
  <c r="J35" s="1"/>
  <c r="G14"/>
  <c r="A22" s="1"/>
  <c r="G8"/>
  <c r="L148" i="89"/>
  <c r="L151" s="1"/>
  <c r="B145"/>
  <c r="B143"/>
  <c r="B142"/>
  <c r="B141"/>
  <c r="B140"/>
  <c r="B139"/>
  <c r="I128"/>
  <c r="I126"/>
  <c r="L123"/>
  <c r="I99"/>
  <c r="I101" s="1"/>
  <c r="I84"/>
  <c r="J71"/>
  <c r="J69"/>
  <c r="J68"/>
  <c r="Q67"/>
  <c r="I63"/>
  <c r="I87" s="1"/>
  <c r="I52"/>
  <c r="J41"/>
  <c r="J39"/>
  <c r="J40" s="1"/>
  <c r="J38"/>
  <c r="P37"/>
  <c r="J29"/>
  <c r="J35" s="1"/>
  <c r="G14"/>
  <c r="A22" s="1"/>
  <c r="G8"/>
  <c r="L148" i="88"/>
  <c r="L151" s="1"/>
  <c r="B145"/>
  <c r="B143"/>
  <c r="B142"/>
  <c r="B141"/>
  <c r="B140"/>
  <c r="B139"/>
  <c r="I128"/>
  <c r="I126"/>
  <c r="L123"/>
  <c r="I99"/>
  <c r="I101" s="1"/>
  <c r="I84"/>
  <c r="J72"/>
  <c r="J71"/>
  <c r="J69"/>
  <c r="J68"/>
  <c r="Q67"/>
  <c r="I63"/>
  <c r="I87" s="1"/>
  <c r="I52"/>
  <c r="J41"/>
  <c r="J39"/>
  <c r="J40" s="1"/>
  <c r="J38"/>
  <c r="P37"/>
  <c r="J37"/>
  <c r="J29"/>
  <c r="J35" s="1"/>
  <c r="G14"/>
  <c r="A22" s="1"/>
  <c r="G8"/>
  <c r="L148" i="87"/>
  <c r="L151" s="1"/>
  <c r="B145"/>
  <c r="B143"/>
  <c r="B142"/>
  <c r="B141"/>
  <c r="B140"/>
  <c r="B139"/>
  <c r="I128"/>
  <c r="I126"/>
  <c r="L123"/>
  <c r="I99"/>
  <c r="I101" s="1"/>
  <c r="I84"/>
  <c r="J71"/>
  <c r="J69"/>
  <c r="J68"/>
  <c r="Q67"/>
  <c r="I63"/>
  <c r="I87" s="1"/>
  <c r="I52"/>
  <c r="J41"/>
  <c r="J39"/>
  <c r="J40" s="1"/>
  <c r="J38"/>
  <c r="P37"/>
  <c r="J29"/>
  <c r="J35" s="1"/>
  <c r="G14"/>
  <c r="A22" s="1"/>
  <c r="G8"/>
  <c r="L148" i="86"/>
  <c r="L151" s="1"/>
  <c r="B145"/>
  <c r="B143"/>
  <c r="B142"/>
  <c r="B141"/>
  <c r="B140"/>
  <c r="B139"/>
  <c r="I128"/>
  <c r="I126"/>
  <c r="L123"/>
  <c r="I99"/>
  <c r="I101" s="1"/>
  <c r="I84"/>
  <c r="J72"/>
  <c r="J71"/>
  <c r="J69"/>
  <c r="J68"/>
  <c r="Q67"/>
  <c r="I63"/>
  <c r="I87" s="1"/>
  <c r="I52"/>
  <c r="J41"/>
  <c r="J39"/>
  <c r="J40" s="1"/>
  <c r="J38"/>
  <c r="P37"/>
  <c r="J37"/>
  <c r="J29"/>
  <c r="J35" s="1"/>
  <c r="G14"/>
  <c r="A22" s="1"/>
  <c r="G8"/>
  <c r="L148" i="85"/>
  <c r="L151" s="1"/>
  <c r="B145"/>
  <c r="B143"/>
  <c r="B142"/>
  <c r="B141"/>
  <c r="B140"/>
  <c r="B139"/>
  <c r="I128"/>
  <c r="I126"/>
  <c r="L123"/>
  <c r="I99"/>
  <c r="I101" s="1"/>
  <c r="I84"/>
  <c r="J71"/>
  <c r="J69"/>
  <c r="J68"/>
  <c r="Q67"/>
  <c r="I63"/>
  <c r="I87" s="1"/>
  <c r="I52"/>
  <c r="J41"/>
  <c r="J39"/>
  <c r="J40" s="1"/>
  <c r="J38"/>
  <c r="P37"/>
  <c r="J29"/>
  <c r="J35" s="1"/>
  <c r="G14"/>
  <c r="A22" s="1"/>
  <c r="G8"/>
  <c r="I89" i="87" l="1"/>
  <c r="J42" i="90"/>
  <c r="I109" i="87"/>
  <c r="I109" i="93"/>
  <c r="I89" i="85"/>
  <c r="I109" s="1"/>
  <c r="J42" i="88"/>
  <c r="J42" i="94"/>
  <c r="J42" i="86"/>
  <c r="I89" i="89"/>
  <c r="I109" s="1"/>
  <c r="J42" i="92"/>
  <c r="I89" i="94"/>
  <c r="I109" s="1"/>
  <c r="J66"/>
  <c r="J73" s="1"/>
  <c r="J79" s="1"/>
  <c r="J36"/>
  <c r="J107" s="1"/>
  <c r="R67"/>
  <c r="S67" s="1"/>
  <c r="J66" i="93"/>
  <c r="J36"/>
  <c r="J37" s="1"/>
  <c r="J42" s="1"/>
  <c r="R67"/>
  <c r="S67" s="1"/>
  <c r="I89" i="92"/>
  <c r="I109" s="1"/>
  <c r="J66"/>
  <c r="J73" s="1"/>
  <c r="J79" s="1"/>
  <c r="R67"/>
  <c r="S67" s="1"/>
  <c r="J36"/>
  <c r="J66" i="91"/>
  <c r="R67"/>
  <c r="S67" s="1"/>
  <c r="J36"/>
  <c r="J37" s="1"/>
  <c r="I89"/>
  <c r="I109" s="1"/>
  <c r="I89" i="90"/>
  <c r="I109" s="1"/>
  <c r="J66"/>
  <c r="J73" s="1"/>
  <c r="J79" s="1"/>
  <c r="J36"/>
  <c r="J43" s="1"/>
  <c r="R67"/>
  <c r="S67" s="1"/>
  <c r="J66" i="89"/>
  <c r="J36"/>
  <c r="J107" s="1"/>
  <c r="R67"/>
  <c r="S67" s="1"/>
  <c r="J66" i="88"/>
  <c r="J73" s="1"/>
  <c r="J79" s="1"/>
  <c r="J36"/>
  <c r="J107" s="1"/>
  <c r="R67"/>
  <c r="S67" s="1"/>
  <c r="I89"/>
  <c r="I109" s="1"/>
  <c r="J66" i="87"/>
  <c r="J36"/>
  <c r="J37" s="1"/>
  <c r="J42" s="1"/>
  <c r="R67"/>
  <c r="S67" s="1"/>
  <c r="J66" i="86"/>
  <c r="J73" s="1"/>
  <c r="J79" s="1"/>
  <c r="J36"/>
  <c r="R67"/>
  <c r="S67" s="1"/>
  <c r="I89"/>
  <c r="I109"/>
  <c r="J66" i="85"/>
  <c r="J36"/>
  <c r="J37" s="1"/>
  <c r="J42" s="1"/>
  <c r="R67"/>
  <c r="S67" s="1"/>
  <c r="J43" i="86" l="1"/>
  <c r="J88" s="1"/>
  <c r="J43" i="94"/>
  <c r="J87" s="1"/>
  <c r="J107" i="91"/>
  <c r="J43" i="92"/>
  <c r="J85" s="1"/>
  <c r="J107" i="86"/>
  <c r="J107" i="90"/>
  <c r="J107" i="92"/>
  <c r="J43" i="93"/>
  <c r="J107"/>
  <c r="J88" i="92"/>
  <c r="J95"/>
  <c r="J42" i="91"/>
  <c r="J43" s="1"/>
  <c r="J98" i="90"/>
  <c r="J94"/>
  <c r="J88"/>
  <c r="J85"/>
  <c r="J44"/>
  <c r="J97"/>
  <c r="J93"/>
  <c r="J51"/>
  <c r="J49"/>
  <c r="J96"/>
  <c r="K72"/>
  <c r="Q72" s="1"/>
  <c r="J50"/>
  <c r="J95"/>
  <c r="J86"/>
  <c r="J87"/>
  <c r="J37" i="89"/>
  <c r="J42" s="1"/>
  <c r="J43" i="88"/>
  <c r="J43" i="87"/>
  <c r="J107"/>
  <c r="J98" i="86"/>
  <c r="J94"/>
  <c r="J44"/>
  <c r="J97"/>
  <c r="J95"/>
  <c r="J86"/>
  <c r="K72"/>
  <c r="Q72" s="1"/>
  <c r="J50"/>
  <c r="J43" i="85"/>
  <c r="J107"/>
  <c r="J96" i="86" l="1"/>
  <c r="J51"/>
  <c r="J85"/>
  <c r="J87"/>
  <c r="J49"/>
  <c r="J93"/>
  <c r="J97" i="92"/>
  <c r="J86"/>
  <c r="J51"/>
  <c r="K72"/>
  <c r="Q72" s="1"/>
  <c r="J98"/>
  <c r="J50"/>
  <c r="J94"/>
  <c r="J87"/>
  <c r="J93"/>
  <c r="J44"/>
  <c r="J83" s="1"/>
  <c r="K72" i="94"/>
  <c r="Q72" s="1"/>
  <c r="J97"/>
  <c r="J88"/>
  <c r="J86"/>
  <c r="J96"/>
  <c r="J49"/>
  <c r="J94"/>
  <c r="J95"/>
  <c r="J51"/>
  <c r="J44"/>
  <c r="J83" s="1"/>
  <c r="J98"/>
  <c r="J96" i="92"/>
  <c r="J49"/>
  <c r="J50" i="94"/>
  <c r="J93"/>
  <c r="J85"/>
  <c r="J84"/>
  <c r="K71"/>
  <c r="Q71" s="1"/>
  <c r="J97" i="93"/>
  <c r="J93"/>
  <c r="J44"/>
  <c r="J96"/>
  <c r="K72"/>
  <c r="Q72" s="1"/>
  <c r="I72" s="1"/>
  <c r="J72" s="1"/>
  <c r="J73" s="1"/>
  <c r="J79" s="1"/>
  <c r="J51"/>
  <c r="J98"/>
  <c r="J88"/>
  <c r="J95"/>
  <c r="J86"/>
  <c r="J50"/>
  <c r="J94"/>
  <c r="J85"/>
  <c r="J49"/>
  <c r="J87"/>
  <c r="K71" i="92"/>
  <c r="Q71" s="1"/>
  <c r="J97" i="91"/>
  <c r="J93"/>
  <c r="J44"/>
  <c r="J86"/>
  <c r="J98"/>
  <c r="J94"/>
  <c r="J88"/>
  <c r="J85"/>
  <c r="J96"/>
  <c r="K72"/>
  <c r="Q72" s="1"/>
  <c r="I72" s="1"/>
  <c r="J72" s="1"/>
  <c r="J73" s="1"/>
  <c r="J79" s="1"/>
  <c r="J51"/>
  <c r="J95"/>
  <c r="J50"/>
  <c r="J49"/>
  <c r="J87"/>
  <c r="J99" i="90"/>
  <c r="J101" s="1"/>
  <c r="J52"/>
  <c r="J139"/>
  <c r="J84"/>
  <c r="K71"/>
  <c r="Q71" s="1"/>
  <c r="J83"/>
  <c r="J43" i="89"/>
  <c r="J98" i="88"/>
  <c r="J94"/>
  <c r="J88"/>
  <c r="J85"/>
  <c r="J44"/>
  <c r="J49"/>
  <c r="J97"/>
  <c r="J93"/>
  <c r="J51"/>
  <c r="J96"/>
  <c r="K72"/>
  <c r="Q72" s="1"/>
  <c r="J50"/>
  <c r="J95"/>
  <c r="J86"/>
  <c r="J87"/>
  <c r="J97" i="87"/>
  <c r="J93"/>
  <c r="J44"/>
  <c r="J96"/>
  <c r="K72"/>
  <c r="Q72" s="1"/>
  <c r="I72" s="1"/>
  <c r="J72" s="1"/>
  <c r="J73" s="1"/>
  <c r="J79" s="1"/>
  <c r="J51"/>
  <c r="J95"/>
  <c r="J86"/>
  <c r="J50"/>
  <c r="J98"/>
  <c r="J94"/>
  <c r="J88"/>
  <c r="J85"/>
  <c r="J49"/>
  <c r="J87"/>
  <c r="J99" i="86"/>
  <c r="J101" s="1"/>
  <c r="J52"/>
  <c r="J139"/>
  <c r="J83"/>
  <c r="J84"/>
  <c r="K71"/>
  <c r="Q71" s="1"/>
  <c r="J97" i="85"/>
  <c r="J93"/>
  <c r="J44"/>
  <c r="J96"/>
  <c r="K72"/>
  <c r="Q72" s="1"/>
  <c r="I72" s="1"/>
  <c r="J72" s="1"/>
  <c r="J73" s="1"/>
  <c r="J79" s="1"/>
  <c r="J51"/>
  <c r="J98"/>
  <c r="J94"/>
  <c r="J85"/>
  <c r="J49"/>
  <c r="J95"/>
  <c r="J86"/>
  <c r="J50"/>
  <c r="J88"/>
  <c r="J87"/>
  <c r="J139" i="92" l="1"/>
  <c r="J84"/>
  <c r="J52"/>
  <c r="J55" s="1"/>
  <c r="J139" i="94"/>
  <c r="J52"/>
  <c r="J89" i="86"/>
  <c r="J141" s="1"/>
  <c r="J99" i="92"/>
  <c r="J101" s="1"/>
  <c r="J106" s="1"/>
  <c r="J108" s="1"/>
  <c r="J142" s="1"/>
  <c r="J99" i="94"/>
  <c r="J101" s="1"/>
  <c r="J106" s="1"/>
  <c r="J108" s="1"/>
  <c r="J142" s="1"/>
  <c r="J99" i="88"/>
  <c r="J101" s="1"/>
  <c r="J106" s="1"/>
  <c r="J108" s="1"/>
  <c r="J142" s="1"/>
  <c r="J58" i="92"/>
  <c r="J52" i="87"/>
  <c r="J58" s="1"/>
  <c r="J89" i="92"/>
  <c r="J141" s="1"/>
  <c r="J52" i="93"/>
  <c r="J61" s="1"/>
  <c r="J89" i="94"/>
  <c r="J61"/>
  <c r="J57"/>
  <c r="J58"/>
  <c r="J60"/>
  <c r="J56"/>
  <c r="J62"/>
  <c r="J59"/>
  <c r="J55"/>
  <c r="J77"/>
  <c r="J84" i="93"/>
  <c r="K71"/>
  <c r="Q71" s="1"/>
  <c r="J83"/>
  <c r="J139"/>
  <c r="J55"/>
  <c r="J99"/>
  <c r="J101" s="1"/>
  <c r="J84" i="91"/>
  <c r="J83"/>
  <c r="J139"/>
  <c r="K71"/>
  <c r="Q71" s="1"/>
  <c r="J52"/>
  <c r="J99"/>
  <c r="J101" s="1"/>
  <c r="J89" i="90"/>
  <c r="J141" s="1"/>
  <c r="J61"/>
  <c r="J57"/>
  <c r="J58"/>
  <c r="J60"/>
  <c r="J56"/>
  <c r="J77"/>
  <c r="J59"/>
  <c r="J55"/>
  <c r="J62"/>
  <c r="J106"/>
  <c r="J108" s="1"/>
  <c r="J142" s="1"/>
  <c r="J97" i="89"/>
  <c r="J93"/>
  <c r="J44"/>
  <c r="J98"/>
  <c r="J88"/>
  <c r="J96"/>
  <c r="K72"/>
  <c r="Q72" s="1"/>
  <c r="I72" s="1"/>
  <c r="J72" s="1"/>
  <c r="J73" s="1"/>
  <c r="J79" s="1"/>
  <c r="J51"/>
  <c r="J94"/>
  <c r="J85"/>
  <c r="J49"/>
  <c r="J95"/>
  <c r="J86"/>
  <c r="J50"/>
  <c r="J87"/>
  <c r="J52" i="88"/>
  <c r="J139"/>
  <c r="J84"/>
  <c r="K71"/>
  <c r="Q71" s="1"/>
  <c r="J83"/>
  <c r="J84" i="87"/>
  <c r="K71"/>
  <c r="Q71" s="1"/>
  <c r="J83"/>
  <c r="J139"/>
  <c r="J61"/>
  <c r="J57"/>
  <c r="J60"/>
  <c r="J56"/>
  <c r="J62"/>
  <c r="J59"/>
  <c r="J55"/>
  <c r="J99"/>
  <c r="J101" s="1"/>
  <c r="J61" i="86"/>
  <c r="J57"/>
  <c r="J77"/>
  <c r="J60"/>
  <c r="J56"/>
  <c r="J62"/>
  <c r="J59"/>
  <c r="J55"/>
  <c r="J58"/>
  <c r="J106"/>
  <c r="J108" s="1"/>
  <c r="J142" s="1"/>
  <c r="J84" i="85"/>
  <c r="K71"/>
  <c r="Q71" s="1"/>
  <c r="J139"/>
  <c r="J83"/>
  <c r="J52"/>
  <c r="J99"/>
  <c r="J101" s="1"/>
  <c r="J60" i="93" l="1"/>
  <c r="J59" i="92"/>
  <c r="J62"/>
  <c r="J77"/>
  <c r="J61"/>
  <c r="J56"/>
  <c r="J63" s="1"/>
  <c r="J57"/>
  <c r="J60"/>
  <c r="J57" i="93"/>
  <c r="J77"/>
  <c r="J59"/>
  <c r="J89" i="91"/>
  <c r="J141" s="1"/>
  <c r="J56" i="93"/>
  <c r="J89"/>
  <c r="J141" s="1"/>
  <c r="J89" i="85"/>
  <c r="J141" s="1"/>
  <c r="J77" i="87"/>
  <c r="J89"/>
  <c r="J141" s="1"/>
  <c r="J62" i="93"/>
  <c r="J58"/>
  <c r="J89" i="88"/>
  <c r="J141" s="1"/>
  <c r="J63" i="90"/>
  <c r="J141" i="94"/>
  <c r="J63"/>
  <c r="J78" s="1"/>
  <c r="J80" s="1"/>
  <c r="J140" s="1"/>
  <c r="J106" i="93"/>
  <c r="J108" s="1"/>
  <c r="J142" s="1"/>
  <c r="J106" i="91"/>
  <c r="J108" s="1"/>
  <c r="J142" s="1"/>
  <c r="J61"/>
  <c r="J57"/>
  <c r="J55"/>
  <c r="J60"/>
  <c r="J56"/>
  <c r="J77"/>
  <c r="J59"/>
  <c r="J62"/>
  <c r="J58"/>
  <c r="J84" i="89"/>
  <c r="K71"/>
  <c r="Q71" s="1"/>
  <c r="J139"/>
  <c r="J83"/>
  <c r="J99"/>
  <c r="J101" s="1"/>
  <c r="J52"/>
  <c r="J61" i="88"/>
  <c r="J57"/>
  <c r="J77"/>
  <c r="J60"/>
  <c r="J56"/>
  <c r="J62"/>
  <c r="J59"/>
  <c r="J55"/>
  <c r="J58"/>
  <c r="J106" i="87"/>
  <c r="J108" s="1"/>
  <c r="J142" s="1"/>
  <c r="J63"/>
  <c r="J78" s="1"/>
  <c r="J80" s="1"/>
  <c r="J140" s="1"/>
  <c r="J63" i="86"/>
  <c r="J106" i="85"/>
  <c r="J108" s="1"/>
  <c r="J142" s="1"/>
  <c r="J61"/>
  <c r="J57"/>
  <c r="J58"/>
  <c r="J60"/>
  <c r="J56"/>
  <c r="J77"/>
  <c r="J59"/>
  <c r="J55"/>
  <c r="J62"/>
  <c r="P37" i="58"/>
  <c r="P37" i="37"/>
  <c r="J78" i="92" l="1"/>
  <c r="J80" s="1"/>
  <c r="J140" s="1"/>
  <c r="J109"/>
  <c r="J63" i="93"/>
  <c r="J78" s="1"/>
  <c r="J80" s="1"/>
  <c r="J140" s="1"/>
  <c r="J89" i="89"/>
  <c r="J141" s="1"/>
  <c r="J63" i="88"/>
  <c r="J78" s="1"/>
  <c r="J78" i="90"/>
  <c r="J80" s="1"/>
  <c r="J140" s="1"/>
  <c r="J109"/>
  <c r="J109" i="93"/>
  <c r="J109" i="94"/>
  <c r="J63" i="91"/>
  <c r="J61" i="89"/>
  <c r="J57"/>
  <c r="J60"/>
  <c r="J56"/>
  <c r="J62"/>
  <c r="J58"/>
  <c r="J77"/>
  <c r="J59"/>
  <c r="J55"/>
  <c r="J106"/>
  <c r="J108" s="1"/>
  <c r="J142" s="1"/>
  <c r="J109" i="88"/>
  <c r="J80"/>
  <c r="J140" s="1"/>
  <c r="J109" i="87"/>
  <c r="J78" i="86"/>
  <c r="J80" s="1"/>
  <c r="J140" s="1"/>
  <c r="J109"/>
  <c r="J63" i="85"/>
  <c r="J78" i="91" l="1"/>
  <c r="J80" s="1"/>
  <c r="J140" s="1"/>
  <c r="J109"/>
  <c r="J63" i="89"/>
  <c r="J78" i="85"/>
  <c r="J80" s="1"/>
  <c r="J140" s="1"/>
  <c r="J109"/>
  <c r="G14" i="58"/>
  <c r="L147"/>
  <c r="L150" s="1"/>
  <c r="B144"/>
  <c r="B142"/>
  <c r="B141"/>
  <c r="B140"/>
  <c r="B139"/>
  <c r="B138"/>
  <c r="I127"/>
  <c r="I125"/>
  <c r="L122"/>
  <c r="I98"/>
  <c r="I100" s="1"/>
  <c r="I83"/>
  <c r="J70"/>
  <c r="J68"/>
  <c r="J67"/>
  <c r="Q66"/>
  <c r="I62"/>
  <c r="I86" s="1"/>
  <c r="I51"/>
  <c r="J40"/>
  <c r="J38"/>
  <c r="J39" s="1"/>
  <c r="J37"/>
  <c r="J28"/>
  <c r="J34" s="1"/>
  <c r="R66" s="1"/>
  <c r="A21"/>
  <c r="G8"/>
  <c r="J78" i="89" l="1"/>
  <c r="J80" s="1"/>
  <c r="J140" s="1"/>
  <c r="J109"/>
  <c r="S66" i="58"/>
  <c r="I88"/>
  <c r="I108" s="1"/>
  <c r="J35"/>
  <c r="J106" s="1"/>
  <c r="J65"/>
  <c r="L150" i="53"/>
  <c r="L153" s="1"/>
  <c r="B147"/>
  <c r="B145"/>
  <c r="B144"/>
  <c r="B143"/>
  <c r="B142"/>
  <c r="B141"/>
  <c r="I130"/>
  <c r="I128"/>
  <c r="L125"/>
  <c r="I95"/>
  <c r="I101" s="1"/>
  <c r="I103" s="1"/>
  <c r="I86"/>
  <c r="J73"/>
  <c r="J71"/>
  <c r="J70"/>
  <c r="Q69"/>
  <c r="I65"/>
  <c r="I89" s="1"/>
  <c r="I54"/>
  <c r="J43"/>
  <c r="J41"/>
  <c r="J42" s="1"/>
  <c r="J40"/>
  <c r="J31"/>
  <c r="J37" s="1"/>
  <c r="G16"/>
  <c r="A24" s="1"/>
  <c r="G10"/>
  <c r="J36" i="58" l="1"/>
  <c r="I91" i="53"/>
  <c r="I111" s="1"/>
  <c r="J68"/>
  <c r="J38"/>
  <c r="J109" s="1"/>
  <c r="R69"/>
  <c r="S69" s="1"/>
  <c r="I121" i="50"/>
  <c r="J41" i="58" l="1"/>
  <c r="J42" s="1"/>
  <c r="J39" i="53"/>
  <c r="J44" s="1"/>
  <c r="J49" i="58" l="1"/>
  <c r="J96"/>
  <c r="J95"/>
  <c r="K71"/>
  <c r="Q71" s="1"/>
  <c r="I71" s="1"/>
  <c r="J71" s="1"/>
  <c r="J72" s="1"/>
  <c r="J78" s="1"/>
  <c r="J94"/>
  <c r="J50"/>
  <c r="J86"/>
  <c r="J97"/>
  <c r="J87"/>
  <c r="J92"/>
  <c r="J43"/>
  <c r="J93"/>
  <c r="J84"/>
  <c r="J85"/>
  <c r="J48"/>
  <c r="J45" i="53"/>
  <c r="I95" i="50"/>
  <c r="J51" i="58" l="1"/>
  <c r="J59" s="1"/>
  <c r="J82"/>
  <c r="K70"/>
  <c r="Q70" s="1"/>
  <c r="J138"/>
  <c r="J83"/>
  <c r="J98"/>
  <c r="J100" s="1"/>
  <c r="J105" s="1"/>
  <c r="J107" s="1"/>
  <c r="J141" s="1"/>
  <c r="J99" i="53"/>
  <c r="J95"/>
  <c r="J90"/>
  <c r="J87"/>
  <c r="J51"/>
  <c r="J98"/>
  <c r="J46"/>
  <c r="J100"/>
  <c r="J96"/>
  <c r="J88"/>
  <c r="J97"/>
  <c r="K74"/>
  <c r="Q74" s="1"/>
  <c r="I74" s="1"/>
  <c r="J74" s="1"/>
  <c r="J75" s="1"/>
  <c r="J81" s="1"/>
  <c r="J53"/>
  <c r="J52"/>
  <c r="J89"/>
  <c r="J40" i="50"/>
  <c r="J39"/>
  <c r="J76" i="58" l="1"/>
  <c r="J60"/>
  <c r="J56"/>
  <c r="J54"/>
  <c r="J58"/>
  <c r="J57"/>
  <c r="J55"/>
  <c r="J61"/>
  <c r="J88"/>
  <c r="J140" s="1"/>
  <c r="J141" i="53"/>
  <c r="J85"/>
  <c r="J86"/>
  <c r="K73"/>
  <c r="Q73" s="1"/>
  <c r="J101"/>
  <c r="J103" s="1"/>
  <c r="J54"/>
  <c r="L150" i="50"/>
  <c r="L153" s="1"/>
  <c r="B147"/>
  <c r="B145"/>
  <c r="B144"/>
  <c r="B143"/>
  <c r="B142"/>
  <c r="B141"/>
  <c r="I130"/>
  <c r="I128"/>
  <c r="L125"/>
  <c r="I101"/>
  <c r="I86"/>
  <c r="J73"/>
  <c r="J71"/>
  <c r="J70"/>
  <c r="Q69"/>
  <c r="I65"/>
  <c r="I89" s="1"/>
  <c r="I54"/>
  <c r="J43"/>
  <c r="J41"/>
  <c r="J42" s="1"/>
  <c r="J31"/>
  <c r="J37" s="1"/>
  <c r="J68" s="1"/>
  <c r="G16"/>
  <c r="A24" s="1"/>
  <c r="G10"/>
  <c r="J62" i="58" l="1"/>
  <c r="J77" s="1"/>
  <c r="J79" s="1"/>
  <c r="J139" s="1"/>
  <c r="J91" i="53"/>
  <c r="J143" s="1"/>
  <c r="J38" i="50"/>
  <c r="J109" s="1"/>
  <c r="J64" i="53"/>
  <c r="J60"/>
  <c r="J59"/>
  <c r="J63"/>
  <c r="J79"/>
  <c r="J61"/>
  <c r="J62"/>
  <c r="J58"/>
  <c r="J57"/>
  <c r="J108"/>
  <c r="J110" s="1"/>
  <c r="J144" s="1"/>
  <c r="I103" i="50"/>
  <c r="I91"/>
  <c r="J44"/>
  <c r="R69"/>
  <c r="S69" s="1"/>
  <c r="J108" i="58" l="1"/>
  <c r="I111" i="50"/>
  <c r="J45"/>
  <c r="J46" s="1"/>
  <c r="J65" i="53"/>
  <c r="J97" i="50" l="1"/>
  <c r="J88"/>
  <c r="J100"/>
  <c r="J89"/>
  <c r="J141"/>
  <c r="K73"/>
  <c r="Q73" s="1"/>
  <c r="J96"/>
  <c r="J90"/>
  <c r="J87"/>
  <c r="J51"/>
  <c r="J95"/>
  <c r="J101" s="1"/>
  <c r="J103" s="1"/>
  <c r="J52"/>
  <c r="J98"/>
  <c r="J99"/>
  <c r="K74"/>
  <c r="Q74" s="1"/>
  <c r="J74" s="1"/>
  <c r="J75" s="1"/>
  <c r="J81" s="1"/>
  <c r="J53"/>
  <c r="J80" i="53"/>
  <c r="J82" s="1"/>
  <c r="J142" s="1"/>
  <c r="J111"/>
  <c r="J86" i="50"/>
  <c r="J85"/>
  <c r="J54" l="1"/>
  <c r="J62" s="1"/>
  <c r="J60"/>
  <c r="J91"/>
  <c r="J143" s="1"/>
  <c r="J57"/>
  <c r="J58"/>
  <c r="J63"/>
  <c r="J108"/>
  <c r="J110" s="1"/>
  <c r="J144" s="1"/>
  <c r="J61" l="1"/>
  <c r="J59"/>
  <c r="J79"/>
  <c r="J64"/>
  <c r="J65"/>
  <c r="J80" s="1"/>
  <c r="J82" l="1"/>
  <c r="J142" s="1"/>
  <c r="J114" i="93"/>
  <c r="J114" i="91"/>
  <c r="J114" i="90"/>
  <c r="J114" i="88"/>
  <c r="J114" i="86"/>
  <c r="J114" i="94"/>
  <c r="J114" i="92"/>
  <c r="J114" i="89"/>
  <c r="J114" i="87"/>
  <c r="J114" i="85"/>
  <c r="J113" i="58"/>
  <c r="J116" i="53"/>
  <c r="J111" i="50"/>
  <c r="J116"/>
  <c r="J113" i="88" l="1"/>
  <c r="J116" s="1"/>
  <c r="J143" s="1"/>
  <c r="J144" s="1"/>
  <c r="J113" i="87"/>
  <c r="J116" s="1"/>
  <c r="J143" s="1"/>
  <c r="J144" s="1"/>
  <c r="J113" i="86"/>
  <c r="J116" s="1"/>
  <c r="J143" s="1"/>
  <c r="J144" s="1"/>
  <c r="J113" i="85"/>
  <c r="J116" s="1"/>
  <c r="J143" s="1"/>
  <c r="J144" s="1"/>
  <c r="J119" s="1"/>
  <c r="J120" s="1"/>
  <c r="J113" i="94"/>
  <c r="J116" s="1"/>
  <c r="J143" s="1"/>
  <c r="J144" s="1"/>
  <c r="J119" s="1"/>
  <c r="J120" s="1"/>
  <c r="J146" s="1"/>
  <c r="J148" s="1"/>
  <c r="J113" i="93"/>
  <c r="J116" s="1"/>
  <c r="J143" s="1"/>
  <c r="J144" s="1"/>
  <c r="J119" s="1"/>
  <c r="J120" s="1"/>
  <c r="J146" s="1"/>
  <c r="J148" s="1"/>
  <c r="J150" s="1"/>
  <c r="J113" i="92"/>
  <c r="J116" s="1"/>
  <c r="J143" s="1"/>
  <c r="J144" s="1"/>
  <c r="J119" s="1"/>
  <c r="J120" s="1"/>
  <c r="J146" s="1"/>
  <c r="J148" s="1"/>
  <c r="Q150" s="1"/>
  <c r="Q151" s="1"/>
  <c r="Q120" s="1"/>
  <c r="J113" i="91"/>
  <c r="J116" s="1"/>
  <c r="J143" s="1"/>
  <c r="J144" s="1"/>
  <c r="J113" i="90"/>
  <c r="J116" s="1"/>
  <c r="J143" s="1"/>
  <c r="J144" s="1"/>
  <c r="J119" s="1"/>
  <c r="J120" s="1"/>
  <c r="J146" s="1"/>
  <c r="J148" s="1"/>
  <c r="J150" s="1"/>
  <c r="J151" s="1"/>
  <c r="K123" s="1"/>
  <c r="J113" i="89"/>
  <c r="J116" s="1"/>
  <c r="J143" s="1"/>
  <c r="J144" s="1"/>
  <c r="J119" s="1"/>
  <c r="J120" s="1"/>
  <c r="J131" s="1"/>
  <c r="J133" s="1"/>
  <c r="J112" i="58"/>
  <c r="J115" s="1"/>
  <c r="J142" s="1"/>
  <c r="J143" s="1"/>
  <c r="J115" i="53"/>
  <c r="J118" s="1"/>
  <c r="J145" s="1"/>
  <c r="J146" s="1"/>
  <c r="J115" i="50"/>
  <c r="J118" s="1"/>
  <c r="J145" s="1"/>
  <c r="J146" s="1"/>
  <c r="J131" i="94" l="1"/>
  <c r="J133" s="1"/>
  <c r="J125" s="1"/>
  <c r="J150" i="92"/>
  <c r="J151" s="1"/>
  <c r="K123" s="1"/>
  <c r="Q150" i="90"/>
  <c r="Q151" s="1"/>
  <c r="Q120" s="1"/>
  <c r="J131" i="93"/>
  <c r="J133" s="1"/>
  <c r="J122" s="1"/>
  <c r="J131" i="92"/>
  <c r="J133" s="1"/>
  <c r="J135" s="1"/>
  <c r="J131" i="90"/>
  <c r="J133" s="1"/>
  <c r="J122" s="1"/>
  <c r="J131" i="85"/>
  <c r="J133" s="1"/>
  <c r="J122" s="1"/>
  <c r="J146" i="89"/>
  <c r="J148" s="1"/>
  <c r="J150" s="1"/>
  <c r="Q147" s="1"/>
  <c r="Q148" s="1"/>
  <c r="Q126" s="1"/>
  <c r="J146" i="85"/>
  <c r="J148" s="1"/>
  <c r="J150" s="1"/>
  <c r="J151" s="1"/>
  <c r="K123" s="1"/>
  <c r="J119" i="86"/>
  <c r="J120" s="1"/>
  <c r="J146" s="1"/>
  <c r="J148" s="1"/>
  <c r="J119" i="91"/>
  <c r="J120" s="1"/>
  <c r="J146" s="1"/>
  <c r="J148" s="1"/>
  <c r="J150" s="1"/>
  <c r="J119" i="87"/>
  <c r="J120" s="1"/>
  <c r="J146" s="1"/>
  <c r="J148" s="1"/>
  <c r="J150" s="1"/>
  <c r="J119" i="88"/>
  <c r="J135" i="94"/>
  <c r="J122"/>
  <c r="J123"/>
  <c r="J123" i="89"/>
  <c r="J135"/>
  <c r="J125"/>
  <c r="J122"/>
  <c r="J151" i="93"/>
  <c r="K123" s="1"/>
  <c r="Q147"/>
  <c r="Q148" s="1"/>
  <c r="Q126" s="1"/>
  <c r="J135" i="90"/>
  <c r="J150" i="94"/>
  <c r="J151" s="1"/>
  <c r="K123" s="1"/>
  <c r="Q150"/>
  <c r="Q151" s="1"/>
  <c r="Q120" s="1"/>
  <c r="J118" i="58"/>
  <c r="J121" i="53"/>
  <c r="J121" i="50"/>
  <c r="J122" i="92" l="1"/>
  <c r="J125"/>
  <c r="Q147" i="85"/>
  <c r="Q148" s="1"/>
  <c r="Q126" s="1"/>
  <c r="J123" i="92"/>
  <c r="J125" i="90"/>
  <c r="J123"/>
  <c r="J135" i="93"/>
  <c r="J125"/>
  <c r="J123"/>
  <c r="J123" i="85"/>
  <c r="J125"/>
  <c r="J135"/>
  <c r="J151" i="89"/>
  <c r="K123" s="1"/>
  <c r="J131" i="86"/>
  <c r="J133" s="1"/>
  <c r="J135" s="1"/>
  <c r="J126" i="89"/>
  <c r="J145" s="1"/>
  <c r="Q147" i="87"/>
  <c r="Q148" s="1"/>
  <c r="Q126" s="1"/>
  <c r="J151"/>
  <c r="K123" s="1"/>
  <c r="J120" i="88"/>
  <c r="J131" i="91"/>
  <c r="J133" s="1"/>
  <c r="J150" i="86"/>
  <c r="J151" s="1"/>
  <c r="K123" s="1"/>
  <c r="Q150"/>
  <c r="Q151" s="1"/>
  <c r="Q120" s="1"/>
  <c r="Q147" i="91"/>
  <c r="Q148" s="1"/>
  <c r="Q126" s="1"/>
  <c r="J151"/>
  <c r="K123" s="1"/>
  <c r="J131" i="87"/>
  <c r="J133" s="1"/>
  <c r="K153" i="86"/>
  <c r="K153" i="90"/>
  <c r="K153" i="92"/>
  <c r="J126" i="94"/>
  <c r="J145" s="1"/>
  <c r="K153"/>
  <c r="J119" i="58"/>
  <c r="J145" s="1"/>
  <c r="J147" s="1"/>
  <c r="Q148" s="1"/>
  <c r="Q149" s="1"/>
  <c r="J122" i="53"/>
  <c r="J148" s="1"/>
  <c r="J150" s="1"/>
  <c r="J152" s="1"/>
  <c r="J122" i="50"/>
  <c r="J123" i="86" l="1"/>
  <c r="J126" i="92"/>
  <c r="J145" s="1"/>
  <c r="J122" i="86"/>
  <c r="J126" i="85"/>
  <c r="J145" s="1"/>
  <c r="J125" i="86"/>
  <c r="J126" s="1"/>
  <c r="J145" s="1"/>
  <c r="J126" i="90"/>
  <c r="J145" s="1"/>
  <c r="J126" i="93"/>
  <c r="J145" s="1"/>
  <c r="J122" i="87"/>
  <c r="J135"/>
  <c r="J125"/>
  <c r="J123"/>
  <c r="J146" i="88"/>
  <c r="J148" s="1"/>
  <c r="J131"/>
  <c r="J133" s="1"/>
  <c r="I7" i="37"/>
  <c r="J135" i="91"/>
  <c r="J122"/>
  <c r="J123"/>
  <c r="J125"/>
  <c r="I25" i="37"/>
  <c r="I17"/>
  <c r="I11"/>
  <c r="I8"/>
  <c r="L120" i="58"/>
  <c r="J149"/>
  <c r="J130"/>
  <c r="J132" s="1"/>
  <c r="J7" i="54"/>
  <c r="J7" i="55"/>
  <c r="K7" s="1"/>
  <c r="J153" i="53"/>
  <c r="J133"/>
  <c r="J135" s="1"/>
  <c r="J148" i="50"/>
  <c r="J150" s="1"/>
  <c r="J152" s="1"/>
  <c r="J8" i="56" s="1"/>
  <c r="J133" i="50"/>
  <c r="J135" s="1"/>
  <c r="C4" i="100" l="1"/>
  <c r="D4" s="1" a="1"/>
  <c r="J12" i="44"/>
  <c r="J126" i="91"/>
  <c r="J145" s="1"/>
  <c r="J135" i="88"/>
  <c r="J122"/>
  <c r="J123"/>
  <c r="J125"/>
  <c r="Q150"/>
  <c r="Q151" s="1"/>
  <c r="Q120" s="1"/>
  <c r="J150"/>
  <c r="J151" s="1"/>
  <c r="K123" s="1"/>
  <c r="K153"/>
  <c r="J126" i="87"/>
  <c r="J145" s="1"/>
  <c r="I33" i="37"/>
  <c r="I31"/>
  <c r="I29"/>
  <c r="I27"/>
  <c r="I21"/>
  <c r="I19"/>
  <c r="I15"/>
  <c r="I13"/>
  <c r="J124" i="58"/>
  <c r="J134"/>
  <c r="J121"/>
  <c r="J122"/>
  <c r="J150"/>
  <c r="K122" s="1"/>
  <c r="J125" i="53"/>
  <c r="J124"/>
  <c r="J127"/>
  <c r="J137"/>
  <c r="L7" i="55"/>
  <c r="L8" s="1"/>
  <c r="K8"/>
  <c r="J125" i="50"/>
  <c r="J127"/>
  <c r="J137"/>
  <c r="J124"/>
  <c r="J153"/>
  <c r="K125" s="1"/>
  <c r="N4" i="100" l="1"/>
  <c r="O4"/>
  <c r="E4"/>
  <c r="J4" s="1"/>
  <c r="H4"/>
  <c r="M4" s="1"/>
  <c r="F4"/>
  <c r="K4" s="1"/>
  <c r="D4"/>
  <c r="I4" s="1"/>
  <c r="G4"/>
  <c r="L4" s="1"/>
  <c r="C10"/>
  <c r="D10" s="1" a="1"/>
  <c r="J126" i="88"/>
  <c r="J145" s="1"/>
  <c r="I35" i="37"/>
  <c r="I10"/>
  <c r="I9"/>
  <c r="J125" i="58"/>
  <c r="J144" s="1"/>
  <c r="J8" i="54"/>
  <c r="K7" s="1"/>
  <c r="J128" i="53"/>
  <c r="J147" s="1"/>
  <c r="K125"/>
  <c r="J128" i="50"/>
  <c r="J147" s="1"/>
  <c r="O10" i="100" l="1"/>
  <c r="N10"/>
  <c r="H10"/>
  <c r="M10" s="1"/>
  <c r="E10"/>
  <c r="J10" s="1"/>
  <c r="F10"/>
  <c r="K10" s="1"/>
  <c r="D10"/>
  <c r="I10" s="1"/>
  <c r="G10"/>
  <c r="L10" s="1"/>
  <c r="P4"/>
  <c r="C17"/>
  <c r="D17" s="1" a="1"/>
  <c r="K9" i="54"/>
  <c r="L7"/>
  <c r="L9" s="1"/>
  <c r="O17" i="100" l="1"/>
  <c r="N17"/>
  <c r="H17"/>
  <c r="M17" s="1"/>
  <c r="E17"/>
  <c r="J17" s="1"/>
  <c r="F17"/>
  <c r="K17" s="1"/>
  <c r="G17"/>
  <c r="L17" s="1"/>
  <c r="D17"/>
  <c r="I17" s="1"/>
  <c r="P10"/>
  <c r="I23" i="37"/>
  <c r="J7" i="56"/>
  <c r="K7" s="1"/>
  <c r="P17" i="100" l="1"/>
  <c r="K9" i="56"/>
  <c r="L7"/>
  <c r="L9" s="1"/>
  <c r="K73" i="97"/>
  <c r="K72" l="1"/>
  <c r="K49"/>
  <c r="K104" s="1"/>
  <c r="K71" l="1"/>
  <c r="K74" s="1"/>
  <c r="K136" s="1"/>
  <c r="K140" s="1"/>
  <c r="K115" l="1"/>
  <c r="K116" l="1"/>
  <c r="K142" s="1"/>
  <c r="K144" s="1"/>
  <c r="K127" l="1"/>
  <c r="K129" s="1"/>
  <c r="K121" s="1"/>
  <c r="K146" l="1"/>
  <c r="K147" s="1"/>
  <c r="H27" i="113"/>
  <c r="K119" i="97"/>
  <c r="K118"/>
  <c r="K131"/>
  <c r="I27" i="113" l="1"/>
  <c r="J27" s="1"/>
  <c r="K122" i="97"/>
  <c r="K141" s="1"/>
  <c r="K112" i="107"/>
  <c r="K139" s="1"/>
  <c r="K140" s="1"/>
  <c r="K115" l="1"/>
  <c r="K116" l="1"/>
  <c r="K142" l="1"/>
  <c r="K144" s="1"/>
  <c r="K127"/>
  <c r="K129" s="1"/>
  <c r="K118" s="1"/>
  <c r="O82" l="1"/>
  <c r="O84" s="1"/>
  <c r="K146"/>
  <c r="K147" s="1"/>
  <c r="H29" i="113"/>
  <c r="K121" i="107"/>
  <c r="K119"/>
  <c r="K131"/>
  <c r="I29" i="113" l="1"/>
  <c r="K122" i="107"/>
  <c r="K141" s="1"/>
  <c r="J29" i="113" l="1"/>
  <c r="I32" s="1"/>
  <c r="I31"/>
  <c r="K31" s="1"/>
  <c r="D46" l="1"/>
  <c r="R9" i="97"/>
  <c r="D47" i="113"/>
  <c r="R12" i="101"/>
  <c r="R14" s="1"/>
  <c r="R33" l="1"/>
  <c r="R35" s="1"/>
</calcChain>
</file>

<file path=xl/sharedStrings.xml><?xml version="1.0" encoding="utf-8"?>
<sst xmlns="http://schemas.openxmlformats.org/spreadsheetml/2006/main" count="7888" uniqueCount="444">
  <si>
    <t>-</t>
  </si>
  <si>
    <t>VALOR (R$)</t>
  </si>
  <si>
    <t>Adicional Noturno</t>
  </si>
  <si>
    <t>%</t>
  </si>
  <si>
    <t>Lucro</t>
  </si>
  <si>
    <t>Data base da categoria (dia/mês/ano)</t>
  </si>
  <si>
    <t>Salário Nominativo da Categoria Profissional</t>
  </si>
  <si>
    <t>A</t>
  </si>
  <si>
    <t>B</t>
  </si>
  <si>
    <t>C</t>
  </si>
  <si>
    <t>D</t>
  </si>
  <si>
    <t>E</t>
  </si>
  <si>
    <t>F</t>
  </si>
  <si>
    <t>G</t>
  </si>
  <si>
    <t>H</t>
  </si>
  <si>
    <t>COMPOSIÇÃO DA REMUNERAÇÃO</t>
  </si>
  <si>
    <t>INSUMOS DIVERSOS</t>
  </si>
  <si>
    <t>TOTAL SUBMÓDULO 4.1</t>
  </si>
  <si>
    <t>CUSTOS INDIRETOS, TRIBUTOS E LUCRO</t>
  </si>
  <si>
    <t>4.1</t>
  </si>
  <si>
    <t>4.2</t>
  </si>
  <si>
    <t>Custos Indiretos</t>
  </si>
  <si>
    <t>Mão-de-Obra vinculada à execução contratual (valor por empregado)</t>
  </si>
  <si>
    <t>MÓDULO 1 - COMPOSIÇÃO DA REMUNERAÇÃO</t>
  </si>
  <si>
    <t>Salário Base</t>
  </si>
  <si>
    <t>Tipo de Serviço</t>
  </si>
  <si>
    <t>Unidade de Medida</t>
  </si>
  <si>
    <t>Quantidade total a contratar (em função da unidade de medida)</t>
  </si>
  <si>
    <t>TRIBUTOS</t>
  </si>
  <si>
    <t>C.1</t>
  </si>
  <si>
    <t>C.2</t>
  </si>
  <si>
    <t>C.3</t>
  </si>
  <si>
    <t>a)</t>
  </si>
  <si>
    <t>Tributos % = To = .............................................................</t>
  </si>
  <si>
    <t>b)</t>
  </si>
  <si>
    <t>c)</t>
  </si>
  <si>
    <t>Po / (1 - To) = P1 = ..............................................................................</t>
  </si>
  <si>
    <t>Valor dos Tributos = P1 - Po</t>
  </si>
  <si>
    <t>Dados para composição dos custos referentes à mão-de-obra</t>
  </si>
  <si>
    <t>Classificação Brasileira de Ocupações (CBO)</t>
  </si>
  <si>
    <t xml:space="preserve">Adicional Periculosidade </t>
  </si>
  <si>
    <t>MÓDULO 2 – ENCARGOS E BENEFÍCIOS ANUAIS, MENSAIS E DIÁRIOS</t>
  </si>
  <si>
    <t>13º Salário, Férias e Adicional de Férias</t>
  </si>
  <si>
    <t>TOTAL SUBMÓDULO 2.1</t>
  </si>
  <si>
    <t>GPS, FGTS e Outras Contribuições</t>
  </si>
  <si>
    <t>SESC ou SESI</t>
  </si>
  <si>
    <t>TOTAL SUBMÓDULO 2.2</t>
  </si>
  <si>
    <t>Submódulo 2.1 - 13º Salário, Férias e Adicional de Férias</t>
  </si>
  <si>
    <t>Submódulo 2.2 - GPS, FGTS e Outras Contribuições</t>
  </si>
  <si>
    <t>Submódulo 2.3 - Benefícios Mensais e Diários</t>
  </si>
  <si>
    <t>TOTAL SUBMÓDULO 2.3</t>
  </si>
  <si>
    <t>QUADRO-RESUMO DO MÓDULO 2 - ENCARGOS, BENEFÍCIOS ANUAIS, MENSAIS E DIÁRIOS</t>
  </si>
  <si>
    <t>2.1</t>
  </si>
  <si>
    <t>2.2</t>
  </si>
  <si>
    <t>2.3</t>
  </si>
  <si>
    <t>Módulo 2 - Encargos, Benefícios Anuais, Mensais e Diários</t>
  </si>
  <si>
    <t>Benefícios Mensais e Diários</t>
  </si>
  <si>
    <t>TOTAL DO MÓDULO 1</t>
  </si>
  <si>
    <t>TOTAL DO MÓDULO 2</t>
  </si>
  <si>
    <t>MÓDULO 3 – PROVISÃO PARA RESCISÃO</t>
  </si>
  <si>
    <t>PROVISÃO PARA RESCISÃO</t>
  </si>
  <si>
    <t>TOTAL DO MÓDULO 3</t>
  </si>
  <si>
    <t>MÓDULO 4 – CUSTO DE REPOSIÇÃO DO PROFISSIONAL AUSENTE</t>
  </si>
  <si>
    <t>Submódulo 4.1 - Ausências Legais</t>
  </si>
  <si>
    <t>Ausências Legais</t>
  </si>
  <si>
    <t>QUADRO-RESUMO DO MÓDULO 4 - CUSTO DE REPOSIÇÃO DO PROFISSIONAL AUSENTE</t>
  </si>
  <si>
    <t>Módulo 4 - Custo de Reposição do Profissional Ausente</t>
  </si>
  <si>
    <t>Intrajornada</t>
  </si>
  <si>
    <t>TOTAL DO MÓDULO 4</t>
  </si>
  <si>
    <t>MÓDULO 5 – INSUMOS DIVERSOS</t>
  </si>
  <si>
    <t>TOTAL DO MÓDULO 5</t>
  </si>
  <si>
    <t>MÓDULO 6 – CUSTOS INDIRETOS, TRIBUTOS E LUCRO</t>
  </si>
  <si>
    <t>TOTAL DO MÓDULO 6</t>
  </si>
  <si>
    <t>(Total dos Módulos 1, 2, 3, 4 e 5+ Custos indiretos + lucro)= Po = ...................................</t>
  </si>
  <si>
    <t>Subtotal (A + B + C + D + E)</t>
  </si>
  <si>
    <t>PREÇO TOTAL POR EMPREGADO</t>
  </si>
  <si>
    <t>IDENTIFICAÇÃO DO SERVIÇO</t>
  </si>
  <si>
    <t>Tributo Federal: COFINS</t>
  </si>
  <si>
    <t>Tributo Municipal: ISS</t>
  </si>
  <si>
    <t>n/ aplica</t>
  </si>
  <si>
    <t>Tributos Estaduais:</t>
  </si>
  <si>
    <t>Tipo de serviço (mesmo serviço com características distintas):</t>
  </si>
  <si>
    <t>Tributo Federal: PIS</t>
  </si>
  <si>
    <t>2. QUADRO RESUMO DO CUSTO POR EMPREGADO</t>
  </si>
  <si>
    <t>INSS</t>
  </si>
  <si>
    <t>Salário educação</t>
  </si>
  <si>
    <t>SENAI ou SENAC</t>
  </si>
  <si>
    <t>SEBRAE</t>
  </si>
  <si>
    <t>INCRA</t>
  </si>
  <si>
    <t>FGTS</t>
  </si>
  <si>
    <t>Valor</t>
  </si>
  <si>
    <t>Qtde</t>
  </si>
  <si>
    <t>Dias</t>
  </si>
  <si>
    <t>Desconto</t>
  </si>
  <si>
    <t>POSTO</t>
  </si>
  <si>
    <t xml:space="preserve">TOTAL PARCIAL MODULO 1 - SUBTOTAL (I) </t>
  </si>
  <si>
    <t>Submódulo 4.1</t>
  </si>
  <si>
    <t>TOTAL</t>
  </si>
  <si>
    <t xml:space="preserve">Seguro de vida, invalidez e funeral  </t>
  </si>
  <si>
    <t>TOTAL DOS ENCARGOS</t>
  </si>
  <si>
    <t>TOTAL DE EMPREGADOS</t>
  </si>
  <si>
    <t>Aviso prévio indenizado</t>
  </si>
  <si>
    <t>Incidência do FGTS sobre aviso prévio indenizado</t>
  </si>
  <si>
    <t>Multa do FGTS e contribuição social sobre o aviso prévio indenizado</t>
  </si>
  <si>
    <t>Aviso prévio trabalhado</t>
  </si>
  <si>
    <t>Incidência dos encargos do submódulo 2.2 sobre o aviso prévio trabalhado</t>
  </si>
  <si>
    <t>Multa do FGTS e contribuição social sobre o aviso prévio trabalhado</t>
  </si>
  <si>
    <t xml:space="preserve">Uniformes </t>
  </si>
  <si>
    <t>VIGILANTE</t>
  </si>
  <si>
    <t>Hora Extra Noturna (Hora noturna reduzida)</t>
  </si>
  <si>
    <t>Descanso Semanal Remunerado sobre Hora Extra Noturna - Intervalo intrajornada indenizado</t>
  </si>
  <si>
    <t>Hora Extra Noturna (intervalo intrajornada indenizado)</t>
  </si>
  <si>
    <t>Descanso Semanal Remunerado sobre adcional noturno</t>
  </si>
  <si>
    <t>Vale Transporte</t>
  </si>
  <si>
    <t>DESCRIÇÃO</t>
  </si>
  <si>
    <t>QTD.</t>
  </si>
  <si>
    <t>VALOR UNIT.</t>
  </si>
  <si>
    <t>DEPRECIAMENTO</t>
  </si>
  <si>
    <t>Calça</t>
  </si>
  <si>
    <t>Cinto de Nylon</t>
  </si>
  <si>
    <t>Livro de Ocorrência</t>
  </si>
  <si>
    <t>5173-30</t>
  </si>
  <si>
    <t>QUANTIDADE DE POSTOS</t>
  </si>
  <si>
    <t>1/6 DSR - Hora Noturna e Hora noturna Reduzida)</t>
  </si>
  <si>
    <t>Coturno</t>
  </si>
  <si>
    <t xml:space="preserve">Colete a prova de balas (Nível II A) </t>
  </si>
  <si>
    <t>SUBTOTAL</t>
  </si>
  <si>
    <t xml:space="preserve">Dia: </t>
  </si>
  <si>
    <t xml:space="preserve">A </t>
  </si>
  <si>
    <t>Data de apresentação da proposta original (dia/mês/ano)</t>
  </si>
  <si>
    <t>Municipio/UF</t>
  </si>
  <si>
    <t>Ano Acordo,Convenção ou Setença Normativa em Dissidio Coletivo atual</t>
  </si>
  <si>
    <t>Número de meses de execução contratual</t>
  </si>
  <si>
    <t>ANEXO III</t>
  </si>
  <si>
    <t>Dados complementares para composição dos custos referente a mão-de-obra</t>
  </si>
  <si>
    <t>Categoria Profissional</t>
  </si>
  <si>
    <t>VIGILANTE - CBO 5173-30</t>
  </si>
  <si>
    <t>Salário</t>
  </si>
  <si>
    <t xml:space="preserve">Data base da categoria (dia/ mês/ano) </t>
  </si>
  <si>
    <t>PLANILHA DE CUSTO E FORMAÇÃO DE PREÇOS</t>
  </si>
  <si>
    <t xml:space="preserve">MÍDULO I - MÃO DE OBRA </t>
  </si>
  <si>
    <t>12 horas</t>
  </si>
  <si>
    <t>ITEM</t>
  </si>
  <si>
    <t>VALOR MENSAL POR POSTO</t>
  </si>
  <si>
    <t>VALOR MENSAL TODOS OS POSTOS</t>
  </si>
  <si>
    <t>VALOR ANUAL DOS POSTOS POR 12 MESES</t>
  </si>
  <si>
    <t>Custo Prev e Combate a Vigilância Clandestina e da Comissão de Autoconstatação do Setor</t>
  </si>
  <si>
    <t>Custo Mensal por Funcionário</t>
  </si>
  <si>
    <t>Meias (PAR)</t>
  </si>
  <si>
    <t xml:space="preserve">RESUMO </t>
  </si>
  <si>
    <t>I</t>
  </si>
  <si>
    <t>J</t>
  </si>
  <si>
    <t>K</t>
  </si>
  <si>
    <t>L</t>
  </si>
  <si>
    <t>LOTE</t>
  </si>
  <si>
    <t>DESCRIÇÃO / ESPECIFICAÇÃO</t>
  </si>
  <si>
    <t>UNIDADE DE MEDIDA</t>
  </si>
  <si>
    <t>PERIODO (12 MESES)</t>
  </si>
  <si>
    <t>VALOR UNITARIO DO POSTO</t>
  </si>
  <si>
    <t xml:space="preserve">Posto </t>
  </si>
  <si>
    <t>Posto</t>
  </si>
  <si>
    <t>VALOR ANUAL</t>
  </si>
  <si>
    <t>Camisa de Mangas Curtas</t>
  </si>
  <si>
    <t>Boné com Emblema</t>
  </si>
  <si>
    <t>BELÉM - PARÁ</t>
  </si>
  <si>
    <t>Outros</t>
  </si>
  <si>
    <t>Seguro acidente de trabalho (RAT x FAP) (3,00% X 1,00%)</t>
  </si>
  <si>
    <t xml:space="preserve">VALOR MENSAL </t>
  </si>
  <si>
    <t>CANTÃO VIGILÂNCIA &amp; SEGURANÇA LTDA</t>
  </si>
  <si>
    <t>CNPJ 14.966.650/0003-62</t>
  </si>
  <si>
    <t xml:space="preserve">QUANT. DE POSTOS </t>
  </si>
  <si>
    <t>QUANT. DE VIGILANTE POR POSTO</t>
  </si>
  <si>
    <t xml:space="preserve">Férias </t>
  </si>
  <si>
    <t>Auxilio alimentação</t>
  </si>
  <si>
    <t xml:space="preserve">Adicional de Férias </t>
  </si>
  <si>
    <t xml:space="preserve">Intrajornada Indenizatória </t>
  </si>
  <si>
    <t>CCT 2020 MTE Nº PA0000801/2019 - SINDIVIPA-SINDESP/PA</t>
  </si>
  <si>
    <t>Categ. profissional (vinc. à exec contratual) - CCT 2020 SINDIVIPA/SINDESP-PA  MTE PA000801/2019</t>
  </si>
  <si>
    <t>13 (Décimo-terceiro) salário</t>
  </si>
  <si>
    <t xml:space="preserve">Dia do vigilante (feriado em dobro) = 12h x R$16,56 = R$ 198,72/12meses = R$ 16,56 </t>
  </si>
  <si>
    <t>Férias</t>
  </si>
  <si>
    <t>Ausências legais</t>
  </si>
  <si>
    <t>Licença Paternidade</t>
  </si>
  <si>
    <t>Acidente de Trabalho</t>
  </si>
  <si>
    <t>Afastamento Maternidade</t>
  </si>
  <si>
    <t>Jaqueta de Frio ou Japona</t>
  </si>
  <si>
    <t>Crachá de Identificação</t>
  </si>
  <si>
    <t>UNIFORME - VIGILANTE</t>
  </si>
  <si>
    <t>MATERIAL/EQUIPAMENTO</t>
  </si>
  <si>
    <t>Capa de Chuva</t>
  </si>
  <si>
    <t>Cinto com Coldre e Baleiro</t>
  </si>
  <si>
    <t>Materiais/Armamento/Equipamentos</t>
  </si>
  <si>
    <t xml:space="preserve">Outros </t>
  </si>
  <si>
    <t>FUNDAÇÃO SANTA CASA DE MISERICÓRDIA DO PARÁ - FSCMP</t>
  </si>
  <si>
    <t>925448</t>
  </si>
  <si>
    <t>UASG</t>
  </si>
  <si>
    <r>
      <t xml:space="preserve">Posto de Vigilância Desarmada - 24 (vinte e quatro) horas </t>
    </r>
    <r>
      <rPr>
        <b/>
        <sz val="8"/>
        <color theme="1"/>
        <rFont val="Times New Roman"/>
        <family val="1"/>
      </rPr>
      <t>ININTERRUPTAS</t>
    </r>
    <r>
      <rPr>
        <sz val="8"/>
        <color theme="1"/>
        <rFont val="Times New Roman"/>
        <family val="1"/>
      </rPr>
      <t xml:space="preserve">, envolvendo 4 (quatro) vigilantes em turnos de revezamento 12(doze) x 36 (trinta e seis) horas. </t>
    </r>
    <r>
      <rPr>
        <b/>
        <sz val="8"/>
        <color theme="1"/>
        <rFont val="Times New Roman"/>
        <family val="1"/>
      </rPr>
      <t>BELÉM/PA.</t>
    </r>
  </si>
  <si>
    <r>
      <t xml:space="preserve">Posto de Inspetor Desarmada - 24 (vinte e quatro) horas </t>
    </r>
    <r>
      <rPr>
        <b/>
        <sz val="8"/>
        <color theme="1"/>
        <rFont val="Times New Roman"/>
        <family val="1"/>
      </rPr>
      <t>ININTERRUPTAS</t>
    </r>
    <r>
      <rPr>
        <sz val="8"/>
        <color theme="1"/>
        <rFont val="Times New Roman"/>
        <family val="1"/>
      </rPr>
      <t xml:space="preserve">, envolvendo 4 (quatro) inspetores em turnos de revezamento 12(doze) x 36 (trinta e seis) horas. </t>
    </r>
    <r>
      <rPr>
        <b/>
        <sz val="8"/>
        <color theme="1"/>
        <rFont val="Times New Roman"/>
        <family val="1"/>
      </rPr>
      <t>BELÉM/PA.</t>
    </r>
  </si>
  <si>
    <r>
      <t xml:space="preserve">Posto de Vigilância Desarmada - 12 (doze) horas </t>
    </r>
    <r>
      <rPr>
        <b/>
        <sz val="8"/>
        <color theme="1"/>
        <rFont val="Times New Roman"/>
        <family val="1"/>
      </rPr>
      <t xml:space="preserve">DIURNAS </t>
    </r>
    <r>
      <rPr>
        <sz val="8"/>
        <color theme="1"/>
        <rFont val="Times New Roman"/>
        <family val="1"/>
      </rPr>
      <t xml:space="preserve">de segunda-feira a domingo, inclusive Feriados, envolvendo 2 (dois) vigilantes em turnos de revezamento 12(doze) x 36 (trinta e seis) horas. </t>
    </r>
    <r>
      <rPr>
        <b/>
        <sz val="8"/>
        <color theme="1"/>
        <rFont val="Times New Roman"/>
        <family val="1"/>
      </rPr>
      <t>BELÉM/PA.</t>
    </r>
  </si>
  <si>
    <t>PREGÃO ELETRÔNICO  N.º 021/2020 - PROTOCOLO Nº 2020/49146</t>
  </si>
  <si>
    <t>25/05/2020 - 09:00H</t>
  </si>
  <si>
    <t>INSPETOR DESARMADA 12 HORAS NOTURNAS 12X36 DE SEGUNDA FEIRA A DOMINGO</t>
  </si>
  <si>
    <t xml:space="preserve">Dia do vigilante (feriado em dobro) = 13,28h x R$24,00 = R$ 318,72/12meses = R$ 26,56 </t>
  </si>
  <si>
    <t>VIGILANCIA DESARMADA 12 HORAS DIURNAS 12X36 DE SEGUNDA FEIRA A DOMINGO</t>
  </si>
  <si>
    <t>VIGILANCIA DESARMADA 12 HORAS NOTURNAS 12X36 DE SEGUNDA FEIRA A DOMINGO</t>
  </si>
  <si>
    <t xml:space="preserve">Dia do vigilante (feriado em dobro) = 13,28h x R$16,56 = R$ 219,96/12meses = R$ 18,33 </t>
  </si>
  <si>
    <t>Distintivo tipo Broche</t>
  </si>
  <si>
    <t>Capa de Colete Balistico</t>
  </si>
  <si>
    <t>Apito</t>
  </si>
  <si>
    <t>Cordão para Apito</t>
  </si>
  <si>
    <t>Lanterna com 3 (três) Pilhas</t>
  </si>
  <si>
    <t>Rádio Comunicador HT ou similar</t>
  </si>
  <si>
    <t>Diurno</t>
  </si>
  <si>
    <t>Noturno</t>
  </si>
  <si>
    <t>Posto - Horario</t>
  </si>
  <si>
    <t>Pilhas para Lanterna (03 Unidades) Recarregavél</t>
  </si>
  <si>
    <t>VALOR TOTAL DA PROPOSTA (ITEM 1)</t>
  </si>
  <si>
    <t>VALOR TOTAL DA PROPOSTA (ITEM 2)</t>
  </si>
  <si>
    <t>VALOR TOTAL DA PROPOSTA (ITEM 3)</t>
  </si>
  <si>
    <t xml:space="preserve">TOTAL POR FUNCIONÁRIO 12 HORAS 12X36 </t>
  </si>
  <si>
    <t>Revolver 38</t>
  </si>
  <si>
    <t>Munição Revolver 38</t>
  </si>
  <si>
    <t>02/06/2020 - 09:30H</t>
  </si>
  <si>
    <t>VIGILANCIA ARMADA 12 HORAS DIURNAS 12X36 DE SEGUNDA FEIRA A DOMINGO</t>
  </si>
  <si>
    <t>PREGÃO ELETRÔNICO  N.º 015/2020 - PROCESSO ADMINISTRATIVO Nº 2020/116742</t>
  </si>
  <si>
    <t>b) Declaramos que o(s) objeto(s) serão entregue(s) estritamente de acordo com as especificações, condições, exigências constantes do Termo de Referência Anexo I do edital, bem como, nos seus demais anexos, sob pena de não serem aceitos pelo órgão licitante.</t>
  </si>
  <si>
    <t>c) Que estamos de pleno acordo com todas as condições e exigências estabelecidas no Edital e seus Anexos, bem como aceitamos todas as obrigações e responsabilidades especificadas no edital, termo de referência e instrumento de contrato.</t>
  </si>
  <si>
    <t>d) Estar cientes da responsabilidade administrativa, civil e penal, bem como ter tomado conhecimento de todas as informações e condições necessárias à correta cotação do objeto licitado.</t>
  </si>
  <si>
    <t>f) Que cumpriremos todos os prazos estabelecidos no edital e seus anexos.</t>
  </si>
  <si>
    <t>Caso nos seja adjudicado o objeto da licitação, comprometemos a assinar o contrato no prazo determinado pelo Instrumento Convocatório, e para esse fim fornecemos os seguintes dados:</t>
  </si>
  <si>
    <t>DADOS DO PROPONENTE</t>
  </si>
  <si>
    <t>RAZÃO SOCIAL: MILLENIUM SEGURANÇA PATRIMONIAL EIRELI -ME</t>
  </si>
  <si>
    <t>BANCO: ITAÚ</t>
  </si>
  <si>
    <t>AGÊNCIA: 7250</t>
  </si>
  <si>
    <t>CONTA-CORRENTE:  06354-7</t>
  </si>
  <si>
    <t>DADOS DO REPRESENTANTE: SEVERINO SALES RIBEIRO DA SILVA</t>
  </si>
  <si>
    <t>CPF nº: 575.249.392-72</t>
  </si>
  <si>
    <t>CI nº: 1161470-6 SSP/AM</t>
  </si>
  <si>
    <t>NACIONALIDADE: BRASILEIRO</t>
  </si>
  <si>
    <t>ESTADO CIVIL: SOLTEIRO</t>
  </si>
  <si>
    <t>CARGO NA EMPRESA: SÓCIO PROPRIETARIO</t>
  </si>
  <si>
    <t>SEVERINO SALES RIBEIRO DA SILVA</t>
  </si>
  <si>
    <t>Sócio Proprietário</t>
  </si>
  <si>
    <t>Ao</t>
  </si>
  <si>
    <t>lance</t>
  </si>
  <si>
    <t>PREGÃO ELETRÔNICO  N.º 56/2020 - PROCESSO ADMINISTRATIVO Nº 67615.080337/2019-53</t>
  </si>
  <si>
    <t>27/11/2020 - 09:30H</t>
  </si>
  <si>
    <t>OUTEIRO - PA</t>
  </si>
  <si>
    <t>MARABÁ - PA</t>
  </si>
  <si>
    <t>VISEU - PA</t>
  </si>
  <si>
    <t>RADAR METEOROLÓGICO - BELÉM - PA</t>
  </si>
  <si>
    <t>RADAR LP 23 - BELÉM - PA</t>
  </si>
  <si>
    <t>VALOR ANUAL POSTO</t>
  </si>
  <si>
    <t>a) Nos comprometemos a fornecer os bens objeto deste edital, nas condições e exigências estabelecidas no termo de referência.</t>
  </si>
  <si>
    <t>Fundo Social de Combate à Vigilância Clandestina</t>
  </si>
  <si>
    <t>Substituto na cobertura nas férias</t>
  </si>
  <si>
    <t>Substituto na Ausências Legais</t>
  </si>
  <si>
    <t>TOTAL SUBMÓDULO 4.2</t>
  </si>
  <si>
    <t>PREGÃO ELETRÔNICO Nº 011/2021 - PROCESSO: 2020/30550/0007469</t>
  </si>
  <si>
    <t>VIGIL. 12X36</t>
  </si>
  <si>
    <t>MANAUS-AM, 23 de fevereiro de 2021</t>
  </si>
  <si>
    <t>LOTE 01</t>
  </si>
  <si>
    <r>
      <t xml:space="preserve">Serviços de Segurança e Vigilância Armada e Desarmada
POSTOS: </t>
    </r>
    <r>
      <rPr>
        <sz val="10"/>
        <color theme="1"/>
        <rFont val="Arial"/>
        <family val="2"/>
      </rPr>
      <t>Hospital Geral de Palmas, Hospital e Maternidade Dona Regina, Hospital Infantil de Palmas, Hemocentro Coordenador de Palmas, Amb. Hem. Palmas – HGP, Centro de Distribuição, Escola Tocantinense do SUS – ETSUS, Assitência Farmacêutica, Diretoria de Regulação – Anexo IV , Centro de Reabilitação III, Sede da Secretaria de Saúde, Depósito de Equipamentos Sucateados *Todos os Postos Localizados na cidade de Palmas - TO</t>
    </r>
  </si>
  <si>
    <t>POSTOS DIURNOS 12X36 ARMADOS</t>
  </si>
  <si>
    <t xml:space="preserve">ESTADO DO TOCANTINS
SECRETARIA DE ESTADO DA SAÚDE
SUPERINTENDÊNCIA DA CENTRAL DE LICITAÇÃO </t>
  </si>
  <si>
    <r>
      <t xml:space="preserve">                                                A empresa </t>
    </r>
    <r>
      <rPr>
        <b/>
        <sz val="10"/>
        <color theme="1"/>
        <rFont val="Arial"/>
        <family val="2"/>
      </rPr>
      <t>MILLENIUM SEGURANCA PATRIMONIAL EIRELI</t>
    </r>
    <r>
      <rPr>
        <sz val="10"/>
        <color theme="1"/>
        <rFont val="Arial"/>
        <family val="2"/>
      </rPr>
      <t xml:space="preserve">, na condição de empresa prestadora de serviços de VIGILÂNCIA DESARMA E DESARMADA, vem através desta, apresentar sua PROPOSTA DE PREÇO para o </t>
    </r>
    <r>
      <rPr>
        <b/>
        <sz val="10"/>
        <color theme="1"/>
        <rFont val="Arial"/>
        <family val="2"/>
      </rPr>
      <t>REGISTRO DE PREÇOS</t>
    </r>
    <r>
      <rPr>
        <sz val="10"/>
        <color theme="1"/>
        <rFont val="Arial"/>
        <family val="2"/>
      </rPr>
      <t xml:space="preserve"> para </t>
    </r>
    <r>
      <rPr>
        <b/>
        <sz val="10"/>
        <color theme="1"/>
        <rFont val="Arial"/>
        <family val="2"/>
      </rPr>
      <t>CONTRATAÇÃO DE SERVIÇOS DE SEGURANÇA E VIGILÂNCIA ARMADA E DESARMADA NAS DEPENDÊNCIAS E INSTALAÇÕES DA SECRETARIA DA SAÚDE, UNIDADES ANEXAS E ESTABELECIMENTOS ASSISTENCIAIS DE SAÚDE, COMPREENDENDO O FORNECIMENTO DE MÃO-DE-OBRA, DE UNIFORMES, MATERIAIS E INSUMOS ADEQUADOS À EXECUÇÃO DOS TRABALHOS, CONFORME ESPECIFICAÇÕES TÉCNICAS CONTIDAS NO TERMO DE REFERÊNCIA, ANEXO II</t>
    </r>
    <r>
      <rPr>
        <sz val="10"/>
        <color theme="1"/>
        <rFont val="Arial"/>
        <family val="2"/>
      </rPr>
      <t>.</t>
    </r>
  </si>
  <si>
    <t>POSTOS DIURNOS 12X36 DESARMADOS</t>
  </si>
  <si>
    <t>POSTOS NOTURNOS 12X36 ARMADOS</t>
  </si>
  <si>
    <t>POSTOS NOTURNOS 12X36 DESARMADOS</t>
  </si>
  <si>
    <t>12</t>
  </si>
  <si>
    <t>QTDE POSTOS
ANO</t>
  </si>
  <si>
    <t>QTDE POSTOS MÊS</t>
  </si>
  <si>
    <t>VALOR MÊS SERVIÇOS</t>
  </si>
  <si>
    <t>96</t>
  </si>
  <si>
    <t>VALOR MENSAL DOS SERVIÇOS</t>
  </si>
  <si>
    <t>VALOR GLOBAL ANUAL (12 MESES)</t>
  </si>
  <si>
    <t>CNPJ: 25.084.798/0001-28</t>
  </si>
  <si>
    <t>g) Nos valores das propostas de preço estão incluídas todas as despesas com tributos e fornecimento de certidões e documentos, bem como encargos fiscais, sociais, trabalhistas, previdenciários, comerciais, transportes  e outros de qualquer natureza;</t>
  </si>
  <si>
    <r>
      <t>A empresa</t>
    </r>
    <r>
      <rPr>
        <b/>
        <sz val="11"/>
        <color theme="1"/>
        <rFont val="Arial"/>
        <family val="2"/>
      </rPr>
      <t xml:space="preserve"> MILLENIUM SEGURANCA PATRIMONIAL EIRELI</t>
    </r>
    <r>
      <rPr>
        <sz val="11"/>
        <color theme="1"/>
        <rFont val="Arial"/>
        <family val="2"/>
      </rPr>
      <t>, declara que:</t>
    </r>
  </si>
  <si>
    <r>
      <t>e) Que os preços propostos estão incluídos todos os custos e despesas, inclusive frete, taxas, impostos, tributos, contribuições sociais, parafiscais, comerciais e outros inerentes ao objeto relativo ao procedimento licitatório</t>
    </r>
    <r>
      <rPr>
        <b/>
        <sz val="11"/>
        <color theme="1"/>
        <rFont val="Arial"/>
        <family val="2"/>
      </rPr>
      <t xml:space="preserve"> PREGÃO ELETRONICO Nº 011/2021 </t>
    </r>
    <r>
      <rPr>
        <sz val="11"/>
        <color theme="1"/>
        <rFont val="Arial"/>
        <family val="2"/>
      </rPr>
      <t>despesas necessárias ao cumprimento integral do objeto, não sendo considerados pleitos de acréscimos a esse ou a qualquer título posteriormente, observadas ainda as isenções previstas na legislação.</t>
    </r>
  </si>
  <si>
    <t>VALOR MÊS POR EXTENSO</t>
  </si>
  <si>
    <t>VALOR GLOBAL POR EXTENSO</t>
  </si>
  <si>
    <t>PREGÃO ELETRÔNICO Nº 01/2021 - PROCESSO: 54000.073990/2020-86</t>
  </si>
  <si>
    <t>05/04/2021 - 09:00H</t>
  </si>
  <si>
    <t>PALMAS/TO</t>
  </si>
  <si>
    <t>Seguro acidente de trabalho (RAT x FAP) (1,00% X 0,50%)</t>
  </si>
  <si>
    <t>Outras Ausências (especificar)</t>
  </si>
  <si>
    <t>PREGÃO ELETRÔNICO  N.º 011/2021/SRP - PROCESSO ADMINISTRATIVO Nº 025/2021-FMS-CPL</t>
  </si>
  <si>
    <t>CCT 2020 - TO000040/2020 - SINDESP-TO</t>
  </si>
  <si>
    <t>Submódulo 4.2 - Substituto na Intrajornada</t>
  </si>
  <si>
    <t>Auxílio Saúde</t>
  </si>
  <si>
    <t>Outros (especificar)</t>
  </si>
  <si>
    <t xml:space="preserve"> </t>
  </si>
  <si>
    <t>GURUPI/TO</t>
  </si>
  <si>
    <t>ARAGUAÍNA/TO</t>
  </si>
  <si>
    <t>31/03/2021 - 08:00H</t>
  </si>
  <si>
    <t>PREGÃO ELETRÔNICO Nº 03/2021 - PROCESSO: 25026.000030/2021-91</t>
  </si>
  <si>
    <t>Decomposição</t>
  </si>
  <si>
    <t>Parte Inteira</t>
  </si>
  <si>
    <t>Moeda</t>
  </si>
  <si>
    <t>Centavos</t>
  </si>
  <si>
    <t>Valor por Extenso</t>
  </si>
  <si>
    <t>Valor a converter</t>
  </si>
  <si>
    <t>trilhões</t>
  </si>
  <si>
    <t>bilhões</t>
  </si>
  <si>
    <t>milhões</t>
  </si>
  <si>
    <t>milhares</t>
  </si>
  <si>
    <t>unidades</t>
  </si>
  <si>
    <t>PREGÃO ELETRÔNICO Nº 02/2021 - PROCESSO: 10283-721.005/2021-37</t>
  </si>
  <si>
    <t>14/04/2021 - 10:00H</t>
  </si>
  <si>
    <t>Vigilância armada 12 horas diurnas 12x36 de segunda - feira a domingo</t>
  </si>
  <si>
    <t>Manaus/AM</t>
  </si>
  <si>
    <t>CCT 2020/2022 - AM000050/2021</t>
  </si>
  <si>
    <t>AUXÍLIO ALIMENTAÇÃO</t>
  </si>
  <si>
    <t xml:space="preserve">Valor do ticket </t>
  </si>
  <si>
    <t>Qde. Ticket/mês</t>
  </si>
  <si>
    <t>Valor Total</t>
  </si>
  <si>
    <t>Participação do empregado 5%</t>
  </si>
  <si>
    <t>Qtde Vigilantes</t>
  </si>
  <si>
    <t>Participação da empresa</t>
  </si>
  <si>
    <t>Cl. 18ª - Parag. 3º / CCT 2019/2022</t>
  </si>
  <si>
    <t>AUXÍLIO TRANSPORTE</t>
  </si>
  <si>
    <t>Valor da passagem</t>
  </si>
  <si>
    <t>N° passagens/ dia</t>
  </si>
  <si>
    <t>N° de dias trabalhados/mês</t>
  </si>
  <si>
    <t>Valor total das passagens</t>
  </si>
  <si>
    <t>Participação do empregado 6%</t>
  </si>
  <si>
    <t>Cl. 19ª - Parag. 3º / CCT 2019/2022</t>
  </si>
  <si>
    <t>AUXÍLIO SAÚDE</t>
  </si>
  <si>
    <t>Valor do Plano de Saúde</t>
  </si>
  <si>
    <t xml:space="preserve">Custo empregado </t>
  </si>
  <si>
    <t>Quantidade de Vigilante</t>
  </si>
  <si>
    <t>Total</t>
  </si>
  <si>
    <t>Cl. 20ª - Parag. 3º e 6º / CCT 2019/2022</t>
  </si>
  <si>
    <t>Camisa</t>
  </si>
  <si>
    <t>Crachá</t>
  </si>
  <si>
    <t>Quantidade total a contratar</t>
  </si>
  <si>
    <t>Distintivo (broche)</t>
  </si>
  <si>
    <t>Apito e Cordão</t>
  </si>
  <si>
    <t>Cassetete</t>
  </si>
  <si>
    <t>Colete Balístico</t>
  </si>
  <si>
    <t>Pilhas para lanterna</t>
  </si>
  <si>
    <t>Munição Revolver 39</t>
  </si>
  <si>
    <t>Coldre e baleiro</t>
  </si>
  <si>
    <t>Registro de arma</t>
  </si>
  <si>
    <t>Materiais e Epi"s</t>
  </si>
  <si>
    <t>Equipamentos</t>
  </si>
  <si>
    <t xml:space="preserve">Quantidade total a contratar </t>
  </si>
  <si>
    <t>Vigilância armada 12 horas noturna 12x36 de segunda - feira a domingo</t>
  </si>
  <si>
    <t>Tabatinga/AM</t>
  </si>
  <si>
    <t>Itacoatiara/AM</t>
  </si>
  <si>
    <t>Categ. profissional (vinc. à exec contratual) - CCT 2020 SINDEVAM/SINDESP-AM  MTE AM000050/2021</t>
  </si>
  <si>
    <t xml:space="preserve">                   </t>
  </si>
  <si>
    <t>Vigilância Armada 12 horas diurnas 12x36 de segunda a domingo</t>
  </si>
  <si>
    <t>ARMAMENTO</t>
  </si>
  <si>
    <t>Bastão retrátil em polimetro com capa</t>
  </si>
  <si>
    <t>Calça com bolsos frontais, traseiro e laterais</t>
  </si>
  <si>
    <t>Camisa manga cumprida, tipo gandola</t>
  </si>
  <si>
    <t>Cinto tático simples</t>
  </si>
  <si>
    <t>Capa de colete tático</t>
  </si>
  <si>
    <t>EQUIPAMENTO</t>
  </si>
  <si>
    <t xml:space="preserve">Colete Tático Balístico nível III-A, Polietileno </t>
  </si>
  <si>
    <t xml:space="preserve">Lanterna </t>
  </si>
  <si>
    <t>Coldre</t>
  </si>
  <si>
    <t xml:space="preserve">Porta munição tipo baleiro, mínimo </t>
  </si>
  <si>
    <t xml:space="preserve">Capa de chuva </t>
  </si>
  <si>
    <t>Rádio Transmissor recarregável, com bateria sobressalente</t>
  </si>
  <si>
    <t>Cofre para guardar de armas vigilante</t>
  </si>
  <si>
    <t xml:space="preserve">Armários para vigilantes </t>
  </si>
  <si>
    <t>Bastão de ronda (10 buttons) e manutenção</t>
  </si>
  <si>
    <t>Ponto Eletrônico Biométrico</t>
  </si>
  <si>
    <t>Ponto eletrônico biométrico de acordo com as regras da Portaria TEM n. 1.510/2009 e aprovado pelo Inmetro.</t>
  </si>
  <si>
    <t>Armamento + ponto eletrônico</t>
  </si>
  <si>
    <t>Vigilância Armada 12 horas noturna 12x36 de segunda a domingo</t>
  </si>
  <si>
    <t>Vigilância Armada 44H SEMANAIS</t>
  </si>
  <si>
    <t>VIGILANTE LÍDER - CBO 5173-30</t>
  </si>
  <si>
    <t>Adicional de Líder</t>
  </si>
  <si>
    <t>TABATINGA - AM</t>
  </si>
  <si>
    <t>TABATINGA</t>
  </si>
  <si>
    <t>TEFÉ/AM</t>
  </si>
  <si>
    <t>LOCALIDADE / POSTO - MANAUS</t>
  </si>
  <si>
    <t xml:space="preserve">LOCALIDADE </t>
  </si>
  <si>
    <t>ESCALA DE TRABALHO</t>
  </si>
  <si>
    <t>Nº DE POSTOS</t>
  </si>
  <si>
    <t>QTDE HOMEM</t>
  </si>
  <si>
    <t>VALOR UNITÁRIO   R$</t>
  </si>
  <si>
    <t>VALOR MENSAL R$</t>
  </si>
  <si>
    <t>VALOR GLOBAL</t>
  </si>
  <si>
    <t>SJAM - MANAUS</t>
  </si>
  <si>
    <t>Vigilância Armada Masculina Diurna, escala 12x36.</t>
  </si>
  <si>
    <t>Vigilância Armada Masculina Noturna, escala 12x36.</t>
  </si>
  <si>
    <t xml:space="preserve">Vigilância Armada Masculina/Femenina, 44 horas semanais, exceto nos feriados. </t>
  </si>
  <si>
    <t>TOTAL MENSAL</t>
  </si>
  <si>
    <t>SSJTBT - TABATINGA</t>
  </si>
  <si>
    <t>UAA - TEFÉ</t>
  </si>
  <si>
    <t>VALOR MENSAL TOTAL</t>
  </si>
  <si>
    <t>TOTAL ANUAL TEFÉ</t>
  </si>
  <si>
    <t>TOTAL ANUAL TABATINGA</t>
  </si>
  <si>
    <t>TOTAL ANUAL MANAUS</t>
  </si>
  <si>
    <t>VALOR ANUAL GRUPO</t>
  </si>
  <si>
    <t>GRUPO/LOTE</t>
  </si>
  <si>
    <t>01</t>
  </si>
  <si>
    <t>02</t>
  </si>
  <si>
    <t>03</t>
  </si>
  <si>
    <t xml:space="preserve">     TAWRUS SEGURANÇA E VIGILÂNCIA EIRELI</t>
  </si>
  <si>
    <t>PROPOSTA COMERCIAL À:</t>
  </si>
  <si>
    <t>JUSTIÇA FEDERAL DE PRIMEIRO GRAU- Seção Judiciária do Amazonas/ MANAUS</t>
  </si>
  <si>
    <t>CNPJ: 09.406.386/0001-00</t>
  </si>
  <si>
    <t>Inscrição Estadual: Isento                                                                      Inscrição Municipal: 12247501</t>
  </si>
  <si>
    <t>Rua Santo Afonso nº05        Bairro São Geraldo      Manaus/AM           Cep 69053-250</t>
  </si>
  <si>
    <t>Fone/Fax: 3671-0092/981352244     E-mail: tawrusgestaocontrato@gmail.com /  comercial@grupotawrus.com</t>
  </si>
  <si>
    <t>Informamos que, na proposta comercial, todos os componentes de despesas de qualquer natureza, custos diretos e indiretos relacionados com salários, encargos trabalhistas, previdenciários e sociais, assim como demais impostos, taxas e despesas decorrentes, materiais consumíveis aplicados na realização dos serviços, depreciação de bens e equipamentos, ou das condições para assinatura de contrato, encontram-se inclusos no preço ofertado.</t>
  </si>
  <si>
    <r>
      <t>O prazo de Validade da Proposta é de 90</t>
    </r>
    <r>
      <rPr>
        <sz val="13"/>
        <color indexed="8"/>
        <rFont val="Candara"/>
        <family val="2"/>
      </rPr>
      <t xml:space="preserve"> (NOVENTA) Dias.</t>
    </r>
  </si>
  <si>
    <t>Proposta de Preços elaborada pela empresa Tawrus Segurança e Vigilância Eireli, com base no Acordo, Convenção, ou Dissidio Coletivo, vigente na categoria profissional de Vigilante, a partir de 01/02/2021, do Sindicato dos Empregados em Empresas de Vigilância e Segurança de Manaus.</t>
  </si>
  <si>
    <t xml:space="preserve">DESCRIÇÃO DOS SERVIÇOS: </t>
  </si>
  <si>
    <t>Geeisa Maria da Costa Correa</t>
  </si>
  <si>
    <t>Sócia Administradora</t>
  </si>
  <si>
    <r>
      <t>Contato:</t>
    </r>
    <r>
      <rPr>
        <sz val="13"/>
        <rFont val="Arial"/>
        <family val="2"/>
      </rPr>
      <t xml:space="preserve"> Geeisa Maria</t>
    </r>
    <r>
      <rPr>
        <b/>
        <sz val="13"/>
        <rFont val="Arial"/>
        <family val="2"/>
      </rPr>
      <t xml:space="preserve">       Banco: </t>
    </r>
    <r>
      <rPr>
        <sz val="13"/>
        <rFont val="Arial"/>
        <family val="2"/>
      </rPr>
      <t xml:space="preserve">Brasil </t>
    </r>
    <r>
      <rPr>
        <b/>
        <sz val="13"/>
        <rFont val="Arial"/>
        <family val="2"/>
      </rPr>
      <t xml:space="preserve">       Agencia: </t>
    </r>
    <r>
      <rPr>
        <sz val="13"/>
        <rFont val="Arial"/>
        <family val="2"/>
      </rPr>
      <t xml:space="preserve">3479-7    </t>
    </r>
    <r>
      <rPr>
        <b/>
        <sz val="13"/>
        <rFont val="Arial"/>
        <family val="2"/>
      </rPr>
      <t xml:space="preserve">     Conta Corrente: </t>
    </r>
    <r>
      <rPr>
        <sz val="13"/>
        <rFont val="Arial"/>
        <family val="2"/>
      </rPr>
      <t>36734-6</t>
    </r>
  </si>
  <si>
    <t xml:space="preserve">Pregão Eletrônico Nº 13/2021  </t>
  </si>
  <si>
    <t>Tawrus Segurança e Vigilância Eireli</t>
  </si>
  <si>
    <t>SUBMÓDULO 2.2 - ENCARGOS PREVIDENCIÁRIOS E FGTS</t>
  </si>
  <si>
    <t xml:space="preserve">MATERIAIS DE PROTEÇÃO INDIVIDUAL PARA COMBATE À COVID-19 </t>
  </si>
  <si>
    <t>QTADE ANUAL POR EMPREGADO</t>
  </si>
  <si>
    <t>VALOR UNT</t>
  </si>
  <si>
    <t>Máscara de tecido</t>
  </si>
  <si>
    <t>Álcool gel, 70º INPM, 500ml</t>
  </si>
  <si>
    <t>Equipamentos + Material de prevenção da COVID-A9</t>
  </si>
  <si>
    <t>Armamento</t>
  </si>
  <si>
    <t xml:space="preserve">Armamento </t>
  </si>
  <si>
    <t>Manaus, 22 de Novembro de 2021.</t>
  </si>
  <si>
    <t>Cento e sessenta e três mil setecentos e noventa e dois reais e um centavo.</t>
  </si>
  <si>
    <t xml:space="preserve">Um milhão novecentos e sessenta e cinco mil quinhentos e quatro reais e dezesseis centavos. </t>
  </si>
  <si>
    <t>Seguro de Vida</t>
  </si>
  <si>
    <t>Vigilância Armada 44H SEMANAIS - LÍDER</t>
  </si>
  <si>
    <t>SubTotal 1 (Base de calculo para encargos sociais)</t>
  </si>
  <si>
    <t>Férias + Adicional</t>
  </si>
  <si>
    <t>Férias + Adicional de Férias</t>
  </si>
  <si>
    <t xml:space="preserve">Férias + Adicional de Férias </t>
  </si>
  <si>
    <t>Seguro de Vida em Grupo</t>
  </si>
  <si>
    <t>Férias  + Adicional de Férias</t>
  </si>
  <si>
    <t>Férias +Adicional de Férias</t>
  </si>
  <si>
    <t xml:space="preserve">Vigilância Armada Masculina/Feminina, 44 horas semanais, exceto nos feriados. </t>
  </si>
  <si>
    <t xml:space="preserve">Vigilância Armada Masculina/Feminina - Líder, 44 horas de segunda a sexta-feira, exceto nos feriados. </t>
  </si>
  <si>
    <t>,</t>
  </si>
</sst>
</file>

<file path=xl/styles.xml><?xml version="1.0" encoding="utf-8"?>
<styleSheet xmlns="http://schemas.openxmlformats.org/spreadsheetml/2006/main">
  <numFmts count="17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&quot;R$ &quot;#,##0.00_);[Red]\(&quot;R$ &quot;#,##0.00\)"/>
    <numFmt numFmtId="166" formatCode="_(&quot;R$ &quot;* #,##0.00_);_(&quot;R$ &quot;* \(#,##0.00\);_(&quot;R$ &quot;* &quot;-&quot;??_);_(@_)"/>
    <numFmt numFmtId="167" formatCode="0.0%"/>
    <numFmt numFmtId="168" formatCode="&quot;R$&quot;\ #,##0.00"/>
    <numFmt numFmtId="169" formatCode="_(* #,##0.00_);_(* \(#,##0.00\);_(* &quot;-&quot;??_);_(@_)"/>
    <numFmt numFmtId="170" formatCode="_-* #,##0.000_-;\-* #,##0.000_-;_-* &quot;-&quot;??_-;_-@_-"/>
    <numFmt numFmtId="171" formatCode="00"/>
    <numFmt numFmtId="172" formatCode="0.000%"/>
    <numFmt numFmtId="173" formatCode="0.0000%"/>
    <numFmt numFmtId="174" formatCode="_-* #,##0.0000_-;\-* #,##0.0000_-;_-* &quot;-&quot;??_-;_-@_-"/>
    <numFmt numFmtId="175" formatCode="&quot;R$ &quot;#,##0.00"/>
    <numFmt numFmtId="176" formatCode="_(* #,##0_);_(* \(#,##0\);_(* &quot;-&quot;??_);_(@_)"/>
    <numFmt numFmtId="177" formatCode="0.000"/>
    <numFmt numFmtId="178" formatCode="_-&quot;R$&quot;\ * #,##0.000_-;\-&quot;R$&quot;\ * #,##0.000_-;_-&quot;R$&quot;\ * &quot;-&quot;??_-;_-@_-"/>
    <numFmt numFmtId="179" formatCode="0.00000%"/>
  </numFmts>
  <fonts count="6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6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Arial Narrow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11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1"/>
      <color indexed="8"/>
      <name val="Arial"/>
      <family val="2"/>
    </font>
    <font>
      <b/>
      <sz val="18"/>
      <color theme="1"/>
      <name val="Calibri"/>
      <family val="2"/>
      <scheme val="minor"/>
    </font>
    <font>
      <sz val="20"/>
      <color rgb="FF663300"/>
      <name val="Arial Black"/>
      <family val="2"/>
    </font>
    <font>
      <sz val="16"/>
      <color theme="5" tint="-0.249977111117893"/>
      <name val="Arial"/>
      <family val="2"/>
    </font>
    <font>
      <b/>
      <sz val="13"/>
      <color theme="1"/>
      <name val="Arial"/>
      <family val="2"/>
    </font>
    <font>
      <b/>
      <sz val="13"/>
      <color theme="3"/>
      <name val="Arial"/>
      <family val="2"/>
    </font>
    <font>
      <sz val="13"/>
      <color theme="1"/>
      <name val="Arial"/>
      <family val="2"/>
    </font>
    <font>
      <sz val="13"/>
      <color theme="1"/>
      <name val="Candara"/>
      <family val="2"/>
    </font>
    <font>
      <sz val="13"/>
      <color indexed="8"/>
      <name val="Candara"/>
      <family val="2"/>
    </font>
    <font>
      <sz val="13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">
    <xf numFmtId="0" fontId="0" fillId="0" borderId="0"/>
    <xf numFmtId="166" fontId="10" fillId="0" borderId="0" applyFill="0" applyBorder="0" applyAlignment="0" applyProtection="0"/>
    <xf numFmtId="9" fontId="10" fillId="0" borderId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0" borderId="0"/>
    <xf numFmtId="0" fontId="7" fillId="0" borderId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0" fontId="7" fillId="0" borderId="0"/>
    <xf numFmtId="9" fontId="10" fillId="0" borderId="0" applyFont="0" applyFill="0" applyBorder="0" applyAlignment="0" applyProtection="0"/>
    <xf numFmtId="9" fontId="10" fillId="0" borderId="0" applyFill="0" applyBorder="0" applyAlignment="0" applyProtection="0"/>
    <xf numFmtId="0" fontId="12" fillId="0" borderId="15" applyNumberFormat="0" applyFill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0" fontId="7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6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10" fillId="0" borderId="0"/>
    <xf numFmtId="169" fontId="10" fillId="0" borderId="0" applyFont="0" applyFill="0" applyBorder="0" applyAlignment="0" applyProtection="0"/>
    <xf numFmtId="0" fontId="1" fillId="0" borderId="0"/>
  </cellStyleXfs>
  <cellXfs count="1269">
    <xf numFmtId="0" fontId="0" fillId="0" borderId="0" xfId="0"/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17" fillId="5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8" fillId="6" borderId="22" xfId="25" applyFont="1" applyFill="1" applyBorder="1" applyAlignment="1">
      <alignment horizontal="right" vertical="center"/>
    </xf>
    <xf numFmtId="14" fontId="18" fillId="6" borderId="22" xfId="25" applyNumberFormat="1" applyFont="1" applyFill="1" applyBorder="1" applyAlignment="1">
      <alignment vertical="center"/>
    </xf>
    <xf numFmtId="0" fontId="17" fillId="0" borderId="20" xfId="25" applyFont="1" applyBorder="1" applyAlignment="1">
      <alignment horizontal="left" vertical="center"/>
    </xf>
    <xf numFmtId="0" fontId="17" fillId="0" borderId="22" xfId="25" applyFont="1" applyBorder="1" applyAlignment="1">
      <alignment horizontal="center" vertical="center"/>
    </xf>
    <xf numFmtId="0" fontId="17" fillId="0" borderId="21" xfId="25" applyFont="1" applyBorder="1" applyAlignment="1">
      <alignment horizontal="center" vertical="center"/>
    </xf>
    <xf numFmtId="0" fontId="17" fillId="5" borderId="20" xfId="25" applyFont="1" applyFill="1" applyBorder="1" applyAlignment="1">
      <alignment horizontal="center" vertical="center"/>
    </xf>
    <xf numFmtId="0" fontId="17" fillId="5" borderId="20" xfId="25" applyFont="1" applyFill="1" applyBorder="1" applyAlignment="1">
      <alignment vertical="center"/>
    </xf>
    <xf numFmtId="0" fontId="17" fillId="5" borderId="22" xfId="25" applyFont="1" applyFill="1" applyBorder="1" applyAlignment="1">
      <alignment vertical="center"/>
    </xf>
    <xf numFmtId="0" fontId="17" fillId="5" borderId="21" xfId="25" applyFont="1" applyFill="1" applyBorder="1" applyAlignment="1">
      <alignment vertical="center"/>
    </xf>
    <xf numFmtId="166" fontId="17" fillId="0" borderId="0" xfId="1" applyFont="1" applyProtection="1">
      <protection hidden="1"/>
    </xf>
    <xf numFmtId="0" fontId="17" fillId="0" borderId="0" xfId="0" applyFont="1" applyProtection="1">
      <protection hidden="1"/>
    </xf>
    <xf numFmtId="0" fontId="17" fillId="0" borderId="1" xfId="0" applyFont="1" applyBorder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/>
      <protection hidden="1"/>
    </xf>
    <xf numFmtId="14" fontId="17" fillId="5" borderId="2" xfId="0" applyNumberFormat="1" applyFont="1" applyFill="1" applyBorder="1" applyAlignment="1" applyProtection="1">
      <alignment horizontal="center"/>
      <protection hidden="1"/>
    </xf>
    <xf numFmtId="2" fontId="17" fillId="0" borderId="0" xfId="0" applyNumberFormat="1" applyFont="1" applyProtection="1">
      <protection hidden="1"/>
    </xf>
    <xf numFmtId="2" fontId="17" fillId="0" borderId="0" xfId="0" applyNumberFormat="1" applyFont="1" applyBorder="1" applyProtection="1">
      <protection hidden="1"/>
    </xf>
    <xf numFmtId="10" fontId="17" fillId="0" borderId="0" xfId="0" applyNumberFormat="1" applyFont="1" applyProtection="1">
      <protection hidden="1"/>
    </xf>
    <xf numFmtId="170" fontId="17" fillId="0" borderId="0" xfId="0" applyNumberFormat="1" applyFont="1" applyProtection="1">
      <protection hidden="1"/>
    </xf>
    <xf numFmtId="43" fontId="17" fillId="0" borderId="0" xfId="0" applyNumberFormat="1" applyFont="1" applyProtection="1">
      <protection hidden="1"/>
    </xf>
    <xf numFmtId="43" fontId="18" fillId="0" borderId="0" xfId="3" applyFont="1" applyBorder="1" applyAlignment="1" applyProtection="1">
      <protection hidden="1"/>
    </xf>
    <xf numFmtId="43" fontId="17" fillId="0" borderId="0" xfId="0" applyNumberFormat="1" applyFont="1" applyBorder="1" applyProtection="1">
      <protection hidden="1"/>
    </xf>
    <xf numFmtId="2" fontId="18" fillId="0" borderId="0" xfId="0" applyNumberFormat="1" applyFont="1" applyBorder="1" applyAlignment="1" applyProtection="1">
      <protection hidden="1"/>
    </xf>
    <xf numFmtId="0" fontId="17" fillId="0" borderId="0" xfId="0" applyFont="1" applyBorder="1" applyProtection="1">
      <protection hidden="1"/>
    </xf>
    <xf numFmtId="0" fontId="17" fillId="8" borderId="0" xfId="0" applyFont="1" applyFill="1" applyBorder="1" applyProtection="1">
      <protection hidden="1"/>
    </xf>
    <xf numFmtId="0" fontId="17" fillId="9" borderId="0" xfId="0" applyFont="1" applyFill="1" applyProtection="1">
      <protection hidden="1"/>
    </xf>
    <xf numFmtId="0" fontId="17" fillId="9" borderId="11" xfId="0" applyFont="1" applyFill="1" applyBorder="1" applyAlignment="1" applyProtection="1">
      <protection hidden="1"/>
    </xf>
    <xf numFmtId="0" fontId="17" fillId="9" borderId="0" xfId="0" applyFont="1" applyFill="1" applyAlignment="1" applyProtection="1">
      <alignment wrapText="1"/>
      <protection hidden="1"/>
    </xf>
    <xf numFmtId="166" fontId="18" fillId="0" borderId="0" xfId="1" applyFont="1" applyProtection="1">
      <protection hidden="1"/>
    </xf>
    <xf numFmtId="2" fontId="18" fillId="0" borderId="0" xfId="0" applyNumberFormat="1" applyFont="1" applyFill="1" applyBorder="1" applyProtection="1">
      <protection hidden="1"/>
    </xf>
    <xf numFmtId="43" fontId="18" fillId="6" borderId="2" xfId="3" applyFont="1" applyFill="1" applyBorder="1" applyAlignment="1" applyProtection="1">
      <alignment vertical="center"/>
      <protection hidden="1"/>
    </xf>
    <xf numFmtId="0" fontId="18" fillId="0" borderId="19" xfId="0" applyFont="1" applyBorder="1" applyAlignment="1" applyProtection="1">
      <alignment horizontal="center" vertical="center" wrapText="1"/>
      <protection hidden="1"/>
    </xf>
    <xf numFmtId="3" fontId="18" fillId="0" borderId="19" xfId="0" applyNumberFormat="1" applyFont="1" applyBorder="1" applyAlignment="1" applyProtection="1">
      <alignment horizontal="center"/>
      <protection hidden="1"/>
    </xf>
    <xf numFmtId="0" fontId="17" fillId="0" borderId="16" xfId="0" applyFont="1" applyBorder="1" applyAlignment="1" applyProtection="1">
      <alignment horizontal="center"/>
      <protection hidden="1"/>
    </xf>
    <xf numFmtId="0" fontId="17" fillId="0" borderId="23" xfId="0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7" fillId="0" borderId="19" xfId="0" applyFont="1" applyBorder="1" applyAlignment="1" applyProtection="1">
      <alignment horizontal="center" vertical="center"/>
      <protection hidden="1"/>
    </xf>
    <xf numFmtId="10" fontId="17" fillId="0" borderId="19" xfId="2" applyNumberFormat="1" applyFont="1" applyBorder="1" applyAlignment="1" applyProtection="1">
      <alignment horizontal="center"/>
      <protection hidden="1"/>
    </xf>
    <xf numFmtId="2" fontId="17" fillId="0" borderId="19" xfId="0" applyNumberFormat="1" applyFont="1" applyBorder="1" applyAlignment="1" applyProtection="1">
      <alignment horizontal="center" vertical="center"/>
      <protection hidden="1"/>
    </xf>
    <xf numFmtId="0" fontId="18" fillId="0" borderId="19" xfId="0" applyFont="1" applyFill="1" applyBorder="1" applyAlignment="1" applyProtection="1">
      <alignment horizontal="center"/>
      <protection hidden="1"/>
    </xf>
    <xf numFmtId="0" fontId="17" fillId="0" borderId="19" xfId="2" applyNumberFormat="1" applyFont="1" applyFill="1" applyBorder="1" applyAlignment="1" applyProtection="1">
      <alignment horizontal="center"/>
      <protection hidden="1"/>
    </xf>
    <xf numFmtId="2" fontId="17" fillId="0" borderId="19" xfId="2" applyNumberFormat="1" applyFont="1" applyFill="1" applyBorder="1" applyAlignment="1" applyProtection="1">
      <alignment horizontal="center"/>
      <protection hidden="1"/>
    </xf>
    <xf numFmtId="49" fontId="17" fillId="0" borderId="19" xfId="2" applyNumberFormat="1" applyFont="1" applyFill="1" applyBorder="1" applyAlignment="1" applyProtection="1">
      <alignment horizontal="center"/>
      <protection hidden="1"/>
    </xf>
    <xf numFmtId="166" fontId="10" fillId="5" borderId="19" xfId="1" applyFill="1" applyBorder="1" applyProtection="1">
      <protection hidden="1"/>
    </xf>
    <xf numFmtId="166" fontId="10" fillId="5" borderId="30" xfId="1" applyFill="1" applyBorder="1" applyProtection="1">
      <protection hidden="1"/>
    </xf>
    <xf numFmtId="166" fontId="10" fillId="0" borderId="30" xfId="1" applyBorder="1" applyProtection="1">
      <protection hidden="1"/>
    </xf>
    <xf numFmtId="166" fontId="10" fillId="0" borderId="19" xfId="1" applyBorder="1" applyAlignment="1" applyProtection="1">
      <protection hidden="1"/>
    </xf>
    <xf numFmtId="10" fontId="17" fillId="0" borderId="8" xfId="0" applyNumberFormat="1" applyFont="1" applyBorder="1" applyAlignment="1" applyProtection="1">
      <alignment horizontal="center"/>
      <protection hidden="1"/>
    </xf>
    <xf numFmtId="10" fontId="17" fillId="5" borderId="8" xfId="0" applyNumberFormat="1" applyFont="1" applyFill="1" applyBorder="1" applyAlignment="1" applyProtection="1">
      <alignment horizontal="center"/>
      <protection hidden="1"/>
    </xf>
    <xf numFmtId="10" fontId="18" fillId="0" borderId="19" xfId="0" applyNumberFormat="1" applyFont="1" applyFill="1" applyBorder="1" applyAlignment="1" applyProtection="1">
      <alignment horizontal="center" vertical="center"/>
      <protection hidden="1"/>
    </xf>
    <xf numFmtId="2" fontId="17" fillId="0" borderId="23" xfId="0" applyNumberFormat="1" applyFont="1" applyBorder="1" applyProtection="1">
      <protection hidden="1"/>
    </xf>
    <xf numFmtId="2" fontId="17" fillId="0" borderId="19" xfId="0" applyNumberFormat="1" applyFont="1" applyBorder="1" applyProtection="1">
      <protection hidden="1"/>
    </xf>
    <xf numFmtId="10" fontId="18" fillId="0" borderId="20" xfId="0" applyNumberFormat="1" applyFont="1" applyFill="1" applyBorder="1" applyAlignment="1" applyProtection="1">
      <alignment horizontal="center" vertical="center"/>
      <protection hidden="1"/>
    </xf>
    <xf numFmtId="2" fontId="18" fillId="0" borderId="19" xfId="0" applyNumberFormat="1" applyFont="1" applyBorder="1" applyProtection="1">
      <protection hidden="1"/>
    </xf>
    <xf numFmtId="10" fontId="18" fillId="9" borderId="9" xfId="0" applyNumberFormat="1" applyFont="1" applyFill="1" applyBorder="1" applyAlignment="1" applyProtection="1">
      <alignment horizontal="center"/>
      <protection hidden="1"/>
    </xf>
    <xf numFmtId="0" fontId="18" fillId="9" borderId="19" xfId="0" applyFont="1" applyFill="1" applyBorder="1" applyAlignment="1" applyProtection="1">
      <alignment horizontal="center"/>
      <protection hidden="1"/>
    </xf>
    <xf numFmtId="10" fontId="18" fillId="9" borderId="10" xfId="0" applyNumberFormat="1" applyFont="1" applyFill="1" applyBorder="1" applyAlignment="1" applyProtection="1">
      <alignment horizontal="center"/>
      <protection hidden="1"/>
    </xf>
    <xf numFmtId="166" fontId="10" fillId="0" borderId="23" xfId="1" applyBorder="1" applyAlignment="1" applyProtection="1">
      <alignment horizontal="center"/>
      <protection hidden="1"/>
    </xf>
    <xf numFmtId="166" fontId="10" fillId="0" borderId="19" xfId="1" applyBorder="1" applyAlignment="1" applyProtection="1">
      <alignment horizontal="center"/>
      <protection hidden="1"/>
    </xf>
    <xf numFmtId="166" fontId="10" fillId="9" borderId="19" xfId="1" applyFill="1" applyBorder="1" applyAlignment="1" applyProtection="1">
      <alignment horizontal="center"/>
      <protection hidden="1"/>
    </xf>
    <xf numFmtId="166" fontId="10" fillId="0" borderId="1" xfId="1" applyBorder="1" applyProtection="1">
      <protection hidden="1"/>
    </xf>
    <xf numFmtId="166" fontId="10" fillId="9" borderId="14" xfId="1" applyFill="1" applyBorder="1" applyProtection="1">
      <protection hidden="1"/>
    </xf>
    <xf numFmtId="10" fontId="17" fillId="5" borderId="19" xfId="2" applyNumberFormat="1" applyFont="1" applyFill="1" applyBorder="1" applyAlignment="1" applyProtection="1">
      <alignment horizontal="center" vertical="center" wrapText="1"/>
      <protection hidden="1"/>
    </xf>
    <xf numFmtId="164" fontId="17" fillId="5" borderId="30" xfId="2" applyNumberFormat="1" applyFont="1" applyFill="1" applyBorder="1" applyAlignment="1" applyProtection="1">
      <alignment vertical="center" wrapText="1"/>
      <protection hidden="1"/>
    </xf>
    <xf numFmtId="0" fontId="17" fillId="5" borderId="30" xfId="2" applyNumberFormat="1" applyFont="1" applyFill="1" applyBorder="1" applyAlignment="1" applyProtection="1">
      <alignment horizontal="center" vertical="center" wrapText="1"/>
      <protection hidden="1"/>
    </xf>
    <xf numFmtId="10" fontId="17" fillId="5" borderId="30" xfId="2" applyNumberFormat="1" applyFont="1" applyFill="1" applyBorder="1" applyAlignment="1" applyProtection="1">
      <alignment horizontal="center" vertical="center" wrapText="1"/>
      <protection hidden="1"/>
    </xf>
    <xf numFmtId="0" fontId="17" fillId="5" borderId="19" xfId="0" applyFont="1" applyFill="1" applyBorder="1" applyAlignment="1" applyProtection="1">
      <alignment horizontal="center"/>
      <protection hidden="1"/>
    </xf>
    <xf numFmtId="166" fontId="17" fillId="5" borderId="19" xfId="1" applyFont="1" applyFill="1" applyBorder="1" applyAlignment="1" applyProtection="1">
      <alignment vertical="center" wrapText="1"/>
      <protection hidden="1"/>
    </xf>
    <xf numFmtId="166" fontId="10" fillId="5" borderId="23" xfId="1" applyFill="1" applyBorder="1" applyAlignment="1" applyProtection="1">
      <protection hidden="1"/>
    </xf>
    <xf numFmtId="0" fontId="17" fillId="0" borderId="20" xfId="0" applyFont="1" applyBorder="1" applyProtection="1">
      <protection hidden="1"/>
    </xf>
    <xf numFmtId="0" fontId="18" fillId="0" borderId="19" xfId="0" applyFont="1" applyFill="1" applyBorder="1" applyAlignment="1" applyProtection="1">
      <protection hidden="1"/>
    </xf>
    <xf numFmtId="2" fontId="17" fillId="0" borderId="19" xfId="0" applyNumberFormat="1" applyFont="1" applyFill="1" applyBorder="1" applyProtection="1">
      <protection hidden="1"/>
    </xf>
    <xf numFmtId="2" fontId="18" fillId="0" borderId="19" xfId="0" applyNumberFormat="1" applyFont="1" applyFill="1" applyBorder="1" applyProtection="1">
      <protection hidden="1"/>
    </xf>
    <xf numFmtId="0" fontId="18" fillId="0" borderId="45" xfId="0" applyFont="1" applyBorder="1" applyAlignment="1" applyProtection="1">
      <alignment horizontal="center"/>
      <protection hidden="1"/>
    </xf>
    <xf numFmtId="10" fontId="17" fillId="0" borderId="19" xfId="2" applyNumberFormat="1" applyFont="1" applyFill="1" applyBorder="1" applyAlignment="1" applyProtection="1">
      <alignment horizontal="center"/>
      <protection hidden="1"/>
    </xf>
    <xf numFmtId="2" fontId="17" fillId="0" borderId="23" xfId="0" applyNumberFormat="1" applyFont="1" applyFill="1" applyBorder="1" applyProtection="1">
      <protection hidden="1"/>
    </xf>
    <xf numFmtId="10" fontId="17" fillId="5" borderId="19" xfId="2" applyNumberFormat="1" applyFont="1" applyFill="1" applyBorder="1" applyAlignment="1" applyProtection="1">
      <alignment horizontal="center"/>
      <protection hidden="1"/>
    </xf>
    <xf numFmtId="10" fontId="18" fillId="0" borderId="19" xfId="3" applyNumberFormat="1" applyFont="1" applyBorder="1" applyAlignment="1" applyProtection="1">
      <alignment horizontal="center"/>
      <protection hidden="1"/>
    </xf>
    <xf numFmtId="0" fontId="18" fillId="0" borderId="14" xfId="0" applyFont="1" applyBorder="1" applyAlignment="1" applyProtection="1">
      <alignment horizontal="center"/>
      <protection hidden="1"/>
    </xf>
    <xf numFmtId="2" fontId="18" fillId="6" borderId="40" xfId="0" applyNumberFormat="1" applyFont="1" applyFill="1" applyBorder="1" applyProtection="1">
      <protection hidden="1"/>
    </xf>
    <xf numFmtId="10" fontId="17" fillId="5" borderId="19" xfId="0" applyNumberFormat="1" applyFont="1" applyFill="1" applyBorder="1" applyAlignment="1" applyProtection="1">
      <alignment horizontal="center" vertical="center"/>
      <protection hidden="1"/>
    </xf>
    <xf numFmtId="2" fontId="17" fillId="0" borderId="19" xfId="0" applyNumberFormat="1" applyFont="1" applyFill="1" applyBorder="1" applyAlignment="1" applyProtection="1">
      <alignment vertical="center"/>
      <protection hidden="1"/>
    </xf>
    <xf numFmtId="0" fontId="17" fillId="0" borderId="19" xfId="0" applyFont="1" applyFill="1" applyBorder="1" applyAlignment="1" applyProtection="1">
      <alignment horizontal="center"/>
      <protection hidden="1"/>
    </xf>
    <xf numFmtId="2" fontId="18" fillId="6" borderId="5" xfId="0" applyNumberFormat="1" applyFont="1" applyFill="1" applyBorder="1" applyProtection="1">
      <protection hidden="1"/>
    </xf>
    <xf numFmtId="10" fontId="18" fillId="6" borderId="12" xfId="0" applyNumberFormat="1" applyFont="1" applyFill="1" applyBorder="1" applyAlignment="1" applyProtection="1">
      <alignment horizontal="center"/>
      <protection hidden="1"/>
    </xf>
    <xf numFmtId="2" fontId="18" fillId="0" borderId="39" xfId="0" applyNumberFormat="1" applyFont="1" applyFill="1" applyBorder="1" applyProtection="1">
      <protection hidden="1"/>
    </xf>
    <xf numFmtId="10" fontId="18" fillId="9" borderId="43" xfId="0" applyNumberFormat="1" applyFont="1" applyFill="1" applyBorder="1" applyAlignment="1" applyProtection="1">
      <protection hidden="1"/>
    </xf>
    <xf numFmtId="166" fontId="18" fillId="9" borderId="21" xfId="1" applyFont="1" applyFill="1" applyBorder="1" applyAlignment="1" applyProtection="1">
      <protection hidden="1"/>
    </xf>
    <xf numFmtId="0" fontId="18" fillId="4" borderId="19" xfId="0" applyFont="1" applyFill="1" applyBorder="1" applyAlignment="1" applyProtection="1">
      <alignment horizontal="center"/>
      <protection hidden="1"/>
    </xf>
    <xf numFmtId="10" fontId="18" fillId="0" borderId="19" xfId="0" applyNumberFormat="1" applyFont="1" applyBorder="1" applyAlignment="1" applyProtection="1">
      <alignment horizontal="center"/>
      <protection hidden="1"/>
    </xf>
    <xf numFmtId="10" fontId="17" fillId="0" borderId="19" xfId="0" applyNumberFormat="1" applyFont="1" applyBorder="1" applyAlignment="1" applyProtection="1">
      <protection hidden="1"/>
    </xf>
    <xf numFmtId="10" fontId="17" fillId="7" borderId="19" xfId="2" applyNumberFormat="1" applyFont="1" applyFill="1" applyBorder="1" applyAlignment="1" applyProtection="1">
      <alignment horizontal="center"/>
      <protection hidden="1"/>
    </xf>
    <xf numFmtId="2" fontId="17" fillId="7" borderId="19" xfId="0" applyNumberFormat="1" applyFont="1" applyFill="1" applyBorder="1" applyAlignment="1" applyProtection="1">
      <alignment horizontal="center"/>
      <protection hidden="1"/>
    </xf>
    <xf numFmtId="10" fontId="17" fillId="0" borderId="19" xfId="2" applyNumberFormat="1" applyFont="1" applyBorder="1" applyAlignment="1" applyProtection="1">
      <protection hidden="1"/>
    </xf>
    <xf numFmtId="167" fontId="18" fillId="0" borderId="19" xfId="2" applyNumberFormat="1" applyFont="1" applyBorder="1" applyAlignment="1" applyProtection="1">
      <alignment horizontal="center"/>
      <protection hidden="1"/>
    </xf>
    <xf numFmtId="0" fontId="18" fillId="0" borderId="30" xfId="0" applyFont="1" applyBorder="1" applyAlignment="1" applyProtection="1">
      <alignment horizontal="center"/>
      <protection hidden="1"/>
    </xf>
    <xf numFmtId="0" fontId="18" fillId="0" borderId="34" xfId="0" applyFont="1" applyBorder="1" applyAlignment="1" applyProtection="1">
      <alignment horizontal="center"/>
      <protection hidden="1"/>
    </xf>
    <xf numFmtId="0" fontId="17" fillId="0" borderId="30" xfId="0" applyFont="1" applyBorder="1" applyProtection="1">
      <protection hidden="1"/>
    </xf>
    <xf numFmtId="0" fontId="17" fillId="0" borderId="31" xfId="0" applyFont="1" applyBorder="1" applyProtection="1">
      <protection hidden="1"/>
    </xf>
    <xf numFmtId="2" fontId="18" fillId="0" borderId="32" xfId="0" applyNumberFormat="1" applyFont="1" applyFill="1" applyBorder="1" applyProtection="1">
      <protection hidden="1"/>
    </xf>
    <xf numFmtId="0" fontId="17" fillId="0" borderId="30" xfId="0" applyFont="1" applyFill="1" applyBorder="1" applyAlignment="1" applyProtection="1">
      <alignment horizontal="center"/>
      <protection hidden="1"/>
    </xf>
    <xf numFmtId="0" fontId="17" fillId="0" borderId="29" xfId="0" applyFont="1" applyBorder="1" applyProtection="1">
      <protection hidden="1"/>
    </xf>
    <xf numFmtId="0" fontId="17" fillId="0" borderId="32" xfId="0" applyFont="1" applyBorder="1" applyProtection="1">
      <protection hidden="1"/>
    </xf>
    <xf numFmtId="0" fontId="17" fillId="0" borderId="35" xfId="0" applyFont="1" applyBorder="1" applyProtection="1">
      <protection hidden="1"/>
    </xf>
    <xf numFmtId="166" fontId="10" fillId="0" borderId="37" xfId="1" applyFill="1" applyBorder="1" applyProtection="1">
      <protection hidden="1"/>
    </xf>
    <xf numFmtId="166" fontId="10" fillId="0" borderId="32" xfId="1" applyFill="1" applyBorder="1" applyProtection="1">
      <protection hidden="1"/>
    </xf>
    <xf numFmtId="0" fontId="18" fillId="0" borderId="10" xfId="0" applyFont="1" applyBorder="1" applyAlignment="1" applyProtection="1">
      <alignment horizontal="center"/>
      <protection hidden="1"/>
    </xf>
    <xf numFmtId="43" fontId="17" fillId="0" borderId="19" xfId="3" applyFont="1" applyBorder="1" applyProtection="1">
      <protection hidden="1"/>
    </xf>
    <xf numFmtId="43" fontId="17" fillId="0" borderId="19" xfId="3" applyFont="1" applyFill="1" applyBorder="1" applyProtection="1">
      <protection hidden="1"/>
    </xf>
    <xf numFmtId="43" fontId="18" fillId="6" borderId="19" xfId="3" applyFont="1" applyFill="1" applyBorder="1" applyProtection="1">
      <protection hidden="1"/>
    </xf>
    <xf numFmtId="43" fontId="18" fillId="6" borderId="19" xfId="3" applyFont="1" applyFill="1" applyBorder="1" applyAlignment="1" applyProtection="1">
      <alignment vertical="center"/>
      <protection hidden="1"/>
    </xf>
    <xf numFmtId="0" fontId="17" fillId="5" borderId="0" xfId="0" applyFont="1" applyFill="1" applyBorder="1" applyAlignment="1">
      <alignment vertical="center"/>
    </xf>
    <xf numFmtId="0" fontId="18" fillId="5" borderId="31" xfId="25" applyFont="1" applyFill="1" applyBorder="1" applyAlignment="1">
      <alignment horizontal="center" vertical="center"/>
    </xf>
    <xf numFmtId="0" fontId="18" fillId="5" borderId="29" xfId="25" applyFont="1" applyFill="1" applyBorder="1" applyAlignment="1">
      <alignment horizontal="center" vertical="center"/>
    </xf>
    <xf numFmtId="0" fontId="18" fillId="5" borderId="32" xfId="25" applyFont="1" applyFill="1" applyBorder="1" applyAlignment="1">
      <alignment horizontal="center" vertical="center"/>
    </xf>
    <xf numFmtId="0" fontId="6" fillId="0" borderId="38" xfId="0" applyFont="1" applyBorder="1" applyProtection="1">
      <protection hidden="1"/>
    </xf>
    <xf numFmtId="0" fontId="6" fillId="0" borderId="35" xfId="0" applyFont="1" applyBorder="1" applyProtection="1">
      <protection hidden="1"/>
    </xf>
    <xf numFmtId="9" fontId="10" fillId="0" borderId="0" xfId="2" applyBorder="1" applyProtection="1">
      <protection hidden="1"/>
    </xf>
    <xf numFmtId="10" fontId="17" fillId="5" borderId="19" xfId="0" applyNumberFormat="1" applyFont="1" applyFill="1" applyBorder="1" applyAlignment="1" applyProtection="1">
      <alignment horizontal="center"/>
      <protection hidden="1"/>
    </xf>
    <xf numFmtId="10" fontId="18" fillId="5" borderId="19" xfId="0" applyNumberFormat="1" applyFont="1" applyFill="1" applyBorder="1" applyAlignment="1" applyProtection="1">
      <alignment horizontal="center"/>
      <protection hidden="1"/>
    </xf>
    <xf numFmtId="0" fontId="17" fillId="11" borderId="0" xfId="0" applyFont="1" applyFill="1" applyProtection="1">
      <protection hidden="1"/>
    </xf>
    <xf numFmtId="0" fontId="21" fillId="5" borderId="0" xfId="0" applyFont="1" applyFill="1" applyProtection="1">
      <protection hidden="1"/>
    </xf>
    <xf numFmtId="43" fontId="18" fillId="0" borderId="19" xfId="3" applyFont="1" applyFill="1" applyBorder="1" applyProtection="1">
      <protection hidden="1"/>
    </xf>
    <xf numFmtId="2" fontId="17" fillId="5" borderId="19" xfId="0" applyNumberFormat="1" applyFont="1" applyFill="1" applyBorder="1" applyProtection="1">
      <protection hidden="1"/>
    </xf>
    <xf numFmtId="164" fontId="17" fillId="0" borderId="0" xfId="0" applyNumberFormat="1" applyFont="1" applyProtection="1">
      <protection hidden="1"/>
    </xf>
    <xf numFmtId="43" fontId="17" fillId="0" borderId="0" xfId="3" applyFont="1" applyProtection="1">
      <protection hidden="1"/>
    </xf>
    <xf numFmtId="0" fontId="22" fillId="0" borderId="0" xfId="33" applyFont="1"/>
    <xf numFmtId="0" fontId="23" fillId="9" borderId="48" xfId="33" applyFont="1" applyFill="1" applyBorder="1" applyAlignment="1">
      <alignment horizontal="center"/>
    </xf>
    <xf numFmtId="0" fontId="23" fillId="9" borderId="48" xfId="33" applyFont="1" applyFill="1" applyBorder="1" applyAlignment="1">
      <alignment horizontal="center" wrapText="1"/>
    </xf>
    <xf numFmtId="0" fontId="23" fillId="0" borderId="48" xfId="33" applyFont="1" applyBorder="1" applyAlignment="1">
      <alignment horizontal="center" vertical="center"/>
    </xf>
    <xf numFmtId="0" fontId="23" fillId="0" borderId="48" xfId="33" applyFont="1" applyBorder="1" applyAlignment="1">
      <alignment horizontal="left" vertical="top" wrapText="1"/>
    </xf>
    <xf numFmtId="4" fontId="23" fillId="0" borderId="48" xfId="33" applyNumberFormat="1" applyFont="1" applyBorder="1" applyAlignment="1">
      <alignment horizontal="center" vertical="center"/>
    </xf>
    <xf numFmtId="43" fontId="23" fillId="0" borderId="48" xfId="34" applyFont="1" applyBorder="1" applyAlignment="1">
      <alignment horizontal="center" vertical="center"/>
    </xf>
    <xf numFmtId="0" fontId="25" fillId="0" borderId="48" xfId="33" applyFont="1" applyBorder="1" applyAlignment="1">
      <alignment horizontal="center" vertical="distributed" wrapText="1"/>
    </xf>
    <xf numFmtId="4" fontId="25" fillId="0" borderId="48" xfId="33" applyNumberFormat="1" applyFont="1" applyBorder="1" applyAlignment="1">
      <alignment horizontal="center" vertical="distributed" wrapText="1"/>
    </xf>
    <xf numFmtId="43" fontId="25" fillId="0" borderId="48" xfId="34" applyFont="1" applyBorder="1" applyAlignment="1">
      <alignment horizontal="center" vertical="distributed" wrapText="1"/>
    </xf>
    <xf numFmtId="0" fontId="23" fillId="9" borderId="52" xfId="33" applyFont="1" applyFill="1" applyBorder="1" applyAlignment="1">
      <alignment horizontal="center"/>
    </xf>
    <xf numFmtId="0" fontId="23" fillId="9" borderId="1" xfId="33" applyFont="1" applyFill="1" applyBorder="1" applyAlignment="1">
      <alignment horizontal="center"/>
    </xf>
    <xf numFmtId="0" fontId="25" fillId="0" borderId="52" xfId="33" applyFont="1" applyBorder="1" applyAlignment="1">
      <alignment horizontal="center" vertical="distributed" wrapText="1"/>
    </xf>
    <xf numFmtId="43" fontId="25" fillId="0" borderId="1" xfId="33" applyNumberFormat="1" applyFont="1" applyBorder="1" applyAlignment="1">
      <alignment horizontal="center" vertical="distributed" wrapText="1"/>
    </xf>
    <xf numFmtId="43" fontId="23" fillId="0" borderId="1" xfId="33" applyNumberFormat="1" applyFont="1" applyBorder="1" applyAlignment="1">
      <alignment horizontal="center" vertical="center"/>
    </xf>
    <xf numFmtId="0" fontId="18" fillId="0" borderId="35" xfId="0" applyFont="1" applyBorder="1" applyAlignment="1" applyProtection="1">
      <alignment horizontal="center"/>
      <protection hidden="1"/>
    </xf>
    <xf numFmtId="43" fontId="22" fillId="0" borderId="0" xfId="33" applyNumberFormat="1" applyFont="1"/>
    <xf numFmtId="49" fontId="25" fillId="0" borderId="48" xfId="33" applyNumberFormat="1" applyFont="1" applyBorder="1" applyAlignment="1">
      <alignment horizontal="center" vertical="distributed" wrapText="1"/>
    </xf>
    <xf numFmtId="43" fontId="24" fillId="0" borderId="53" xfId="34" applyFont="1" applyBorder="1" applyAlignment="1"/>
    <xf numFmtId="43" fontId="24" fillId="0" borderId="2" xfId="34" applyFont="1" applyBorder="1" applyAlignment="1"/>
    <xf numFmtId="0" fontId="18" fillId="0" borderId="36" xfId="0" applyFont="1" applyBorder="1" applyAlignment="1" applyProtection="1">
      <protection hidden="1"/>
    </xf>
    <xf numFmtId="0" fontId="18" fillId="0" borderId="37" xfId="0" applyFont="1" applyBorder="1" applyAlignment="1" applyProtection="1">
      <protection hidden="1"/>
    </xf>
    <xf numFmtId="0" fontId="17" fillId="0" borderId="0" xfId="0" applyFont="1" applyFill="1" applyBorder="1" applyAlignment="1">
      <alignment vertical="center"/>
    </xf>
    <xf numFmtId="172" fontId="17" fillId="5" borderId="19" xfId="0" applyNumberFormat="1" applyFont="1" applyFill="1" applyBorder="1" applyAlignment="1" applyProtection="1">
      <alignment horizontal="center"/>
      <protection hidden="1"/>
    </xf>
    <xf numFmtId="2" fontId="22" fillId="0" borderId="0" xfId="33" applyNumberFormat="1" applyFont="1"/>
    <xf numFmtId="49" fontId="23" fillId="0" borderId="48" xfId="33" applyNumberFormat="1" applyFont="1" applyBorder="1" applyAlignment="1">
      <alignment horizontal="center" vertical="center" wrapText="1"/>
    </xf>
    <xf numFmtId="0" fontId="6" fillId="0" borderId="0" xfId="0" applyFont="1" applyFill="1" applyProtection="1">
      <protection hidden="1"/>
    </xf>
    <xf numFmtId="166" fontId="10" fillId="0" borderId="0" xfId="1"/>
    <xf numFmtId="0" fontId="18" fillId="0" borderId="22" xfId="0" applyFont="1" applyBorder="1" applyAlignment="1" applyProtection="1">
      <alignment horizontal="center"/>
      <protection hidden="1"/>
    </xf>
    <xf numFmtId="0" fontId="18" fillId="0" borderId="20" xfId="25" applyFont="1" applyBorder="1" applyAlignment="1">
      <alignment horizontal="center" vertical="center"/>
    </xf>
    <xf numFmtId="0" fontId="17" fillId="0" borderId="0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alignment horizontal="center"/>
      <protection hidden="1"/>
    </xf>
    <xf numFmtId="0" fontId="17" fillId="0" borderId="19" xfId="0" applyFont="1" applyBorder="1" applyAlignment="1" applyProtection="1">
      <alignment horizontal="center"/>
      <protection hidden="1"/>
    </xf>
    <xf numFmtId="0" fontId="18" fillId="0" borderId="23" xfId="0" applyFont="1" applyBorder="1" applyAlignment="1" applyProtection="1">
      <alignment horizontal="center"/>
      <protection hidden="1"/>
    </xf>
    <xf numFmtId="0" fontId="18" fillId="0" borderId="0" xfId="0" applyFont="1" applyBorder="1" applyAlignment="1" applyProtection="1">
      <alignment horizontal="center"/>
      <protection hidden="1"/>
    </xf>
    <xf numFmtId="0" fontId="17" fillId="0" borderId="20" xfId="0" applyFont="1" applyBorder="1" applyAlignment="1" applyProtection="1">
      <alignment horizontal="center"/>
      <protection hidden="1"/>
    </xf>
    <xf numFmtId="0" fontId="18" fillId="0" borderId="31" xfId="0" applyFont="1" applyBorder="1" applyAlignment="1" applyProtection="1">
      <alignment horizontal="center"/>
      <protection hidden="1"/>
    </xf>
    <xf numFmtId="0" fontId="17" fillId="0" borderId="20" xfId="0" applyFont="1" applyBorder="1" applyAlignment="1" applyProtection="1">
      <protection hidden="1"/>
    </xf>
    <xf numFmtId="0" fontId="17" fillId="0" borderId="22" xfId="0" applyFont="1" applyBorder="1" applyAlignment="1" applyProtection="1">
      <protection hidden="1"/>
    </xf>
    <xf numFmtId="0" fontId="17" fillId="0" borderId="21" xfId="0" applyFont="1" applyBorder="1" applyAlignment="1" applyProtection="1">
      <protection hidden="1"/>
    </xf>
    <xf numFmtId="0" fontId="17" fillId="0" borderId="19" xfId="0" applyFont="1" applyBorder="1" applyAlignment="1" applyProtection="1">
      <protection hidden="1"/>
    </xf>
    <xf numFmtId="0" fontId="18" fillId="0" borderId="11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protection hidden="1"/>
    </xf>
    <xf numFmtId="0" fontId="17" fillId="0" borderId="0" xfId="0" applyFont="1" applyAlignment="1" applyProtection="1">
      <alignment horizontal="center"/>
      <protection hidden="1"/>
    </xf>
    <xf numFmtId="0" fontId="17" fillId="0" borderId="0" xfId="0" applyFont="1" applyBorder="1" applyAlignment="1" applyProtection="1">
      <alignment horizontal="left"/>
      <protection hidden="1"/>
    </xf>
    <xf numFmtId="0" fontId="18" fillId="0" borderId="29" xfId="0" applyFont="1" applyBorder="1" applyAlignment="1" applyProtection="1">
      <alignment horizontal="left"/>
      <protection hidden="1"/>
    </xf>
    <xf numFmtId="0" fontId="18" fillId="0" borderId="32" xfId="0" applyFont="1" applyBorder="1" applyAlignment="1" applyProtection="1">
      <alignment horizontal="left"/>
      <protection hidden="1"/>
    </xf>
    <xf numFmtId="10" fontId="18" fillId="0" borderId="31" xfId="2" applyNumberFormat="1" applyFont="1" applyBorder="1" applyAlignment="1" applyProtection="1">
      <protection hidden="1"/>
    </xf>
    <xf numFmtId="10" fontId="18" fillId="0" borderId="35" xfId="2" applyNumberFormat="1" applyFont="1" applyBorder="1" applyAlignment="1" applyProtection="1">
      <protection hidden="1"/>
    </xf>
    <xf numFmtId="0" fontId="18" fillId="0" borderId="24" xfId="0" applyFont="1" applyBorder="1" applyAlignment="1" applyProtection="1">
      <alignment horizontal="center"/>
      <protection hidden="1"/>
    </xf>
    <xf numFmtId="4" fontId="23" fillId="0" borderId="48" xfId="33" applyNumberFormat="1" applyFont="1" applyBorder="1" applyAlignment="1">
      <alignment horizontal="center" vertical="distributed" wrapText="1"/>
    </xf>
    <xf numFmtId="4" fontId="22" fillId="0" borderId="0" xfId="33" applyNumberFormat="1" applyFont="1"/>
    <xf numFmtId="0" fontId="24" fillId="0" borderId="48" xfId="33" applyFont="1" applyBorder="1" applyAlignment="1">
      <alignment horizontal="center" vertical="distributed" wrapText="1"/>
    </xf>
    <xf numFmtId="0" fontId="23" fillId="0" borderId="48" xfId="33" applyFont="1" applyBorder="1" applyAlignment="1">
      <alignment horizontal="center" vertical="distributed" wrapText="1"/>
    </xf>
    <xf numFmtId="166" fontId="0" fillId="5" borderId="19" xfId="1" applyFont="1" applyFill="1" applyBorder="1" applyProtection="1">
      <protection hidden="1"/>
    </xf>
    <xf numFmtId="10" fontId="22" fillId="0" borderId="56" xfId="33" applyNumberFormat="1" applyFont="1" applyBorder="1"/>
    <xf numFmtId="0" fontId="22" fillId="0" borderId="57" xfId="33" applyFont="1" applyBorder="1"/>
    <xf numFmtId="43" fontId="22" fillId="0" borderId="0" xfId="33" applyNumberFormat="1" applyFont="1" applyBorder="1"/>
    <xf numFmtId="0" fontId="22" fillId="0" borderId="58" xfId="33" applyFont="1" applyBorder="1"/>
    <xf numFmtId="0" fontId="22" fillId="0" borderId="0" xfId="33" applyFont="1" applyBorder="1"/>
    <xf numFmtId="0" fontId="22" fillId="0" borderId="24" xfId="33" applyFont="1" applyBorder="1"/>
    <xf numFmtId="0" fontId="22" fillId="0" borderId="59" xfId="33" applyFont="1" applyBorder="1"/>
    <xf numFmtId="0" fontId="22" fillId="0" borderId="9" xfId="33" applyFont="1" applyBorder="1"/>
    <xf numFmtId="43" fontId="22" fillId="0" borderId="60" xfId="33" applyNumberFormat="1" applyFont="1" applyBorder="1"/>
    <xf numFmtId="166" fontId="10" fillId="0" borderId="24" xfId="1" applyBorder="1"/>
    <xf numFmtId="0" fontId="18" fillId="0" borderId="19" xfId="0" applyFont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center"/>
      <protection hidden="1"/>
    </xf>
    <xf numFmtId="0" fontId="17" fillId="0" borderId="20" xfId="0" applyFont="1" applyBorder="1" applyAlignment="1" applyProtection="1">
      <protection hidden="1"/>
    </xf>
    <xf numFmtId="0" fontId="17" fillId="0" borderId="22" xfId="0" applyFont="1" applyBorder="1" applyAlignment="1" applyProtection="1">
      <protection hidden="1"/>
    </xf>
    <xf numFmtId="0" fontId="17" fillId="0" borderId="19" xfId="0" applyFont="1" applyBorder="1" applyAlignment="1" applyProtection="1">
      <protection hidden="1"/>
    </xf>
    <xf numFmtId="0" fontId="18" fillId="0" borderId="22" xfId="0" applyFont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alignment horizontal="left"/>
      <protection hidden="1"/>
    </xf>
    <xf numFmtId="0" fontId="18" fillId="0" borderId="29" xfId="0" applyFont="1" applyBorder="1" applyAlignment="1" applyProtection="1">
      <alignment horizontal="left"/>
      <protection hidden="1"/>
    </xf>
    <xf numFmtId="0" fontId="18" fillId="0" borderId="32" xfId="0" applyFont="1" applyBorder="1" applyAlignment="1" applyProtection="1">
      <alignment horizontal="left"/>
      <protection hidden="1"/>
    </xf>
    <xf numFmtId="10" fontId="18" fillId="0" borderId="31" xfId="2" applyNumberFormat="1" applyFont="1" applyBorder="1" applyAlignment="1" applyProtection="1">
      <protection hidden="1"/>
    </xf>
    <xf numFmtId="10" fontId="18" fillId="0" borderId="35" xfId="2" applyNumberFormat="1" applyFont="1" applyBorder="1" applyAlignment="1" applyProtection="1">
      <protection hidden="1"/>
    </xf>
    <xf numFmtId="0" fontId="17" fillId="0" borderId="21" xfId="0" applyFont="1" applyBorder="1" applyAlignment="1" applyProtection="1">
      <protection hidden="1"/>
    </xf>
    <xf numFmtId="0" fontId="18" fillId="0" borderId="19" xfId="0" applyFont="1" applyBorder="1" applyAlignment="1" applyProtection="1"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11" xfId="0" applyFont="1" applyBorder="1" applyAlignment="1" applyProtection="1">
      <alignment horizontal="center"/>
      <protection hidden="1"/>
    </xf>
    <xf numFmtId="0" fontId="18" fillId="0" borderId="31" xfId="0" applyFont="1" applyBorder="1" applyAlignment="1" applyProtection="1">
      <alignment horizontal="center"/>
      <protection hidden="1"/>
    </xf>
    <xf numFmtId="0" fontId="17" fillId="0" borderId="20" xfId="0" applyFont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alignment horizontal="center"/>
      <protection hidden="1"/>
    </xf>
    <xf numFmtId="0" fontId="17" fillId="0" borderId="19" xfId="0" applyFont="1" applyBorder="1" applyAlignment="1" applyProtection="1">
      <alignment horizontal="center"/>
      <protection hidden="1"/>
    </xf>
    <xf numFmtId="0" fontId="18" fillId="0" borderId="23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alignment horizontal="center" vertical="center"/>
      <protection hidden="1"/>
    </xf>
    <xf numFmtId="0" fontId="18" fillId="0" borderId="20" xfId="25" applyFont="1" applyBorder="1" applyAlignment="1">
      <alignment horizontal="center" vertical="center"/>
    </xf>
    <xf numFmtId="0" fontId="18" fillId="0" borderId="24" xfId="0" applyFont="1" applyBorder="1" applyAlignment="1" applyProtection="1">
      <alignment horizontal="center"/>
      <protection hidden="1"/>
    </xf>
    <xf numFmtId="0" fontId="27" fillId="5" borderId="0" xfId="33" applyFont="1" applyFill="1"/>
    <xf numFmtId="43" fontId="27" fillId="5" borderId="0" xfId="33" applyNumberFormat="1" applyFont="1" applyFill="1"/>
    <xf numFmtId="0" fontId="22" fillId="0" borderId="0" xfId="33" applyFont="1" applyAlignment="1">
      <alignment horizontal="center"/>
    </xf>
    <xf numFmtId="0" fontId="23" fillId="0" borderId="3" xfId="33" applyFont="1" applyBorder="1" applyAlignment="1">
      <alignment horizontal="center" vertical="center"/>
    </xf>
    <xf numFmtId="0" fontId="23" fillId="0" borderId="63" xfId="33" applyFont="1" applyBorder="1" applyAlignment="1">
      <alignment horizontal="center" vertical="center"/>
    </xf>
    <xf numFmtId="10" fontId="28" fillId="0" borderId="0" xfId="33" applyNumberFormat="1" applyFont="1"/>
    <xf numFmtId="43" fontId="29" fillId="0" borderId="0" xfId="0" applyNumberFormat="1" applyFont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33" fillId="0" borderId="3" xfId="0" applyFont="1" applyBorder="1" applyAlignment="1" applyProtection="1">
      <alignment horizontal="center"/>
      <protection hidden="1"/>
    </xf>
    <xf numFmtId="0" fontId="0" fillId="0" borderId="0" xfId="0" applyFont="1" applyBorder="1" applyProtection="1">
      <protection hidden="1"/>
    </xf>
    <xf numFmtId="0" fontId="33" fillId="0" borderId="11" xfId="0" applyFont="1" applyBorder="1" applyAlignment="1" applyProtection="1">
      <alignment horizontal="center"/>
      <protection hidden="1"/>
    </xf>
    <xf numFmtId="0" fontId="34" fillId="0" borderId="0" xfId="0" applyFont="1" applyProtection="1">
      <protection hidden="1"/>
    </xf>
    <xf numFmtId="0" fontId="33" fillId="0" borderId="48" xfId="0" applyFont="1" applyBorder="1" applyAlignment="1" applyProtection="1">
      <alignment horizontal="center"/>
      <protection hidden="1"/>
    </xf>
    <xf numFmtId="0" fontId="0" fillId="0" borderId="48" xfId="0" applyFont="1" applyBorder="1" applyAlignment="1" applyProtection="1">
      <alignment horizontal="center"/>
      <protection hidden="1"/>
    </xf>
    <xf numFmtId="43" fontId="0" fillId="0" borderId="48" xfId="3" applyFont="1" applyBorder="1" applyProtection="1">
      <protection hidden="1"/>
    </xf>
    <xf numFmtId="0" fontId="0" fillId="0" borderId="48" xfId="0" applyFont="1" applyFill="1" applyBorder="1" applyAlignment="1" applyProtection="1">
      <alignment horizontal="center"/>
      <protection hidden="1"/>
    </xf>
    <xf numFmtId="43" fontId="0" fillId="0" borderId="48" xfId="3" applyFont="1" applyFill="1" applyBorder="1" applyProtection="1">
      <protection hidden="1"/>
    </xf>
    <xf numFmtId="2" fontId="0" fillId="0" borderId="48" xfId="0" applyNumberFormat="1" applyFont="1" applyBorder="1" applyProtection="1">
      <protection hidden="1"/>
    </xf>
    <xf numFmtId="0" fontId="33" fillId="0" borderId="48" xfId="0" applyFont="1" applyFill="1" applyBorder="1" applyAlignment="1" applyProtection="1">
      <alignment horizontal="center"/>
      <protection hidden="1"/>
    </xf>
    <xf numFmtId="0" fontId="33" fillId="9" borderId="48" xfId="0" applyFont="1" applyFill="1" applyBorder="1" applyAlignment="1" applyProtection="1">
      <alignment horizontal="center"/>
      <protection hidden="1"/>
    </xf>
    <xf numFmtId="10" fontId="0" fillId="0" borderId="48" xfId="2" applyNumberFormat="1" applyFont="1" applyBorder="1" applyAlignment="1" applyProtection="1">
      <protection hidden="1"/>
    </xf>
    <xf numFmtId="2" fontId="0" fillId="0" borderId="48" xfId="0" applyNumberFormat="1" applyFont="1" applyFill="1" applyBorder="1" applyProtection="1">
      <protection hidden="1"/>
    </xf>
    <xf numFmtId="167" fontId="33" fillId="0" borderId="48" xfId="2" applyNumberFormat="1" applyFont="1" applyBorder="1" applyAlignment="1" applyProtection="1">
      <alignment horizontal="center"/>
      <protection hidden="1"/>
    </xf>
    <xf numFmtId="10" fontId="33" fillId="0" borderId="48" xfId="2" applyNumberFormat="1" applyFont="1" applyBorder="1" applyAlignment="1" applyProtection="1">
      <protection hidden="1"/>
    </xf>
    <xf numFmtId="2" fontId="33" fillId="0" borderId="48" xfId="0" applyNumberFormat="1" applyFont="1" applyFill="1" applyBorder="1" applyProtection="1">
      <protection hidden="1"/>
    </xf>
    <xf numFmtId="0" fontId="33" fillId="4" borderId="48" xfId="0" applyFont="1" applyFill="1" applyBorder="1" applyAlignment="1" applyProtection="1">
      <alignment horizontal="center"/>
      <protection hidden="1"/>
    </xf>
    <xf numFmtId="10" fontId="33" fillId="0" borderId="48" xfId="0" applyNumberFormat="1" applyFont="1" applyBorder="1" applyAlignment="1" applyProtection="1">
      <alignment horizontal="center"/>
      <protection hidden="1"/>
    </xf>
    <xf numFmtId="2" fontId="33" fillId="0" borderId="48" xfId="0" applyNumberFormat="1" applyFont="1" applyBorder="1" applyProtection="1">
      <protection hidden="1"/>
    </xf>
    <xf numFmtId="2" fontId="0" fillId="5" borderId="48" xfId="0" applyNumberFormat="1" applyFont="1" applyFill="1" applyBorder="1" applyProtection="1">
      <protection hidden="1"/>
    </xf>
    <xf numFmtId="172" fontId="0" fillId="5" borderId="48" xfId="0" applyNumberFormat="1" applyFont="1" applyFill="1" applyBorder="1" applyAlignment="1" applyProtection="1">
      <alignment horizontal="center"/>
      <protection hidden="1"/>
    </xf>
    <xf numFmtId="10" fontId="33" fillId="5" borderId="48" xfId="0" applyNumberFormat="1" applyFont="1" applyFill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alignment horizontal="center" vertical="center"/>
      <protection hidden="1"/>
    </xf>
    <xf numFmtId="10" fontId="0" fillId="5" borderId="48" xfId="0" applyNumberFormat="1" applyFont="1" applyFill="1" applyBorder="1" applyAlignment="1" applyProtection="1">
      <alignment horizontal="center" vertical="center"/>
      <protection hidden="1"/>
    </xf>
    <xf numFmtId="2" fontId="0" fillId="0" borderId="48" xfId="0" applyNumberFormat="1" applyFont="1" applyFill="1" applyBorder="1" applyAlignment="1" applyProtection="1">
      <alignment vertical="center"/>
      <protection hidden="1"/>
    </xf>
    <xf numFmtId="10" fontId="33" fillId="6" borderId="48" xfId="0" applyNumberFormat="1" applyFont="1" applyFill="1" applyBorder="1" applyAlignment="1" applyProtection="1">
      <alignment horizontal="center"/>
      <protection hidden="1"/>
    </xf>
    <xf numFmtId="2" fontId="33" fillId="6" borderId="48" xfId="0" applyNumberFormat="1" applyFont="1" applyFill="1" applyBorder="1" applyProtection="1">
      <protection hidden="1"/>
    </xf>
    <xf numFmtId="10" fontId="0" fillId="0" borderId="48" xfId="2" applyNumberFormat="1" applyFont="1" applyBorder="1" applyAlignment="1" applyProtection="1">
      <alignment horizontal="center"/>
      <protection hidden="1"/>
    </xf>
    <xf numFmtId="10" fontId="33" fillId="0" borderId="48" xfId="3" applyNumberFormat="1" applyFont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protection hidden="1"/>
    </xf>
    <xf numFmtId="0" fontId="33" fillId="0" borderId="48" xfId="0" applyFont="1" applyFill="1" applyBorder="1" applyAlignment="1" applyProtection="1">
      <protection hidden="1"/>
    </xf>
    <xf numFmtId="43" fontId="33" fillId="0" borderId="48" xfId="3" applyFont="1" applyFill="1" applyBorder="1" applyProtection="1">
      <protection hidden="1"/>
    </xf>
    <xf numFmtId="10" fontId="0" fillId="5" borderId="48" xfId="2" applyNumberFormat="1" applyFont="1" applyFill="1" applyBorder="1" applyAlignment="1" applyProtection="1">
      <alignment horizontal="center" vertical="center" wrapText="1"/>
      <protection hidden="1"/>
    </xf>
    <xf numFmtId="164" fontId="0" fillId="5" borderId="48" xfId="2" applyNumberFormat="1" applyFont="1" applyFill="1" applyBorder="1" applyAlignment="1" applyProtection="1">
      <alignment vertical="center" wrapText="1"/>
      <protection hidden="1"/>
    </xf>
    <xf numFmtId="0" fontId="0" fillId="5" borderId="48" xfId="2" applyNumberFormat="1" applyFont="1" applyFill="1" applyBorder="1" applyAlignment="1" applyProtection="1">
      <alignment horizontal="center" vertical="center" wrapText="1"/>
      <protection hidden="1"/>
    </xf>
    <xf numFmtId="0" fontId="0" fillId="5" borderId="48" xfId="0" applyFont="1" applyFill="1" applyBorder="1" applyAlignment="1" applyProtection="1">
      <alignment horizontal="center"/>
      <protection hidden="1"/>
    </xf>
    <xf numFmtId="166" fontId="0" fillId="5" borderId="48" xfId="1" applyFont="1" applyFill="1" applyBorder="1" applyAlignment="1" applyProtection="1">
      <alignment vertical="center" wrapText="1"/>
      <protection hidden="1"/>
    </xf>
    <xf numFmtId="166" fontId="0" fillId="5" borderId="48" xfId="1" applyFont="1" applyFill="1" applyBorder="1" applyAlignment="1" applyProtection="1">
      <protection hidden="1"/>
    </xf>
    <xf numFmtId="10" fontId="33" fillId="0" borderId="48" xfId="0" applyNumberFormat="1" applyFont="1" applyFill="1" applyBorder="1" applyAlignment="1" applyProtection="1">
      <alignment horizontal="center" vertical="center"/>
      <protection hidden="1"/>
    </xf>
    <xf numFmtId="166" fontId="0" fillId="0" borderId="48" xfId="1" applyFont="1" applyBorder="1" applyAlignment="1" applyProtection="1">
      <alignment horizontal="center"/>
      <protection hidden="1"/>
    </xf>
    <xf numFmtId="166" fontId="0" fillId="0" borderId="48" xfId="1" applyFont="1" applyBorder="1" applyProtection="1">
      <protection hidden="1"/>
    </xf>
    <xf numFmtId="0" fontId="0" fillId="0" borderId="48" xfId="0" applyFont="1" applyBorder="1" applyAlignment="1" applyProtection="1">
      <alignment horizontal="center" vertical="center"/>
      <protection hidden="1"/>
    </xf>
    <xf numFmtId="166" fontId="0" fillId="5" borderId="48" xfId="1" applyFont="1" applyFill="1" applyBorder="1" applyProtection="1">
      <protection hidden="1"/>
    </xf>
    <xf numFmtId="2" fontId="0" fillId="0" borderId="48" xfId="0" applyNumberFormat="1" applyFont="1" applyBorder="1" applyAlignment="1" applyProtection="1">
      <alignment horizontal="center" vertical="center"/>
      <protection hidden="1"/>
    </xf>
    <xf numFmtId="0" fontId="0" fillId="0" borderId="48" xfId="2" applyNumberFormat="1" applyFont="1" applyFill="1" applyBorder="1" applyAlignment="1" applyProtection="1">
      <alignment horizontal="center"/>
      <protection hidden="1"/>
    </xf>
    <xf numFmtId="2" fontId="0" fillId="0" borderId="48" xfId="2" applyNumberFormat="1" applyFont="1" applyFill="1" applyBorder="1" applyAlignment="1" applyProtection="1">
      <alignment horizontal="center"/>
      <protection hidden="1"/>
    </xf>
    <xf numFmtId="49" fontId="0" fillId="0" borderId="48" xfId="2" applyNumberFormat="1" applyFont="1" applyFill="1" applyBorder="1" applyAlignment="1" applyProtection="1">
      <alignment horizontal="center"/>
      <protection hidden="1"/>
    </xf>
    <xf numFmtId="166" fontId="0" fillId="0" borderId="48" xfId="1" applyFont="1" applyBorder="1" applyAlignment="1" applyProtection="1">
      <protection hidden="1"/>
    </xf>
    <xf numFmtId="165" fontId="0" fillId="0" borderId="48" xfId="0" applyNumberFormat="1" applyFont="1" applyBorder="1" applyAlignment="1" applyProtection="1">
      <alignment horizontal="center"/>
      <protection hidden="1"/>
    </xf>
    <xf numFmtId="14" fontId="0" fillId="5" borderId="48" xfId="0" applyNumberFormat="1" applyFont="1" applyFill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alignment horizontal="center" vertical="center" wrapText="1"/>
      <protection hidden="1"/>
    </xf>
    <xf numFmtId="3" fontId="33" fillId="0" borderId="48" xfId="0" applyNumberFormat="1" applyFont="1" applyBorder="1" applyAlignment="1" applyProtection="1">
      <alignment horizontal="center" wrapText="1"/>
      <protection hidden="1"/>
    </xf>
    <xf numFmtId="0" fontId="33" fillId="5" borderId="0" xfId="25" applyFont="1" applyFill="1" applyBorder="1" applyAlignment="1">
      <alignment horizontal="center" vertical="center"/>
    </xf>
    <xf numFmtId="0" fontId="33" fillId="6" borderId="4" xfId="25" applyFont="1" applyFill="1" applyBorder="1" applyAlignment="1">
      <alignment horizontal="right" vertical="center"/>
    </xf>
    <xf numFmtId="0" fontId="33" fillId="5" borderId="11" xfId="25" applyFont="1" applyFill="1" applyBorder="1" applyAlignment="1">
      <alignment horizontal="center" vertical="center"/>
    </xf>
    <xf numFmtId="0" fontId="33" fillId="5" borderId="12" xfId="25" applyFont="1" applyFill="1" applyBorder="1" applyAlignment="1">
      <alignment horizontal="center" vertical="center"/>
    </xf>
    <xf numFmtId="14" fontId="33" fillId="6" borderId="8" xfId="25" applyNumberFormat="1" applyFont="1" applyFill="1" applyBorder="1" applyAlignment="1">
      <alignment vertical="center"/>
    </xf>
    <xf numFmtId="0" fontId="0" fillId="0" borderId="11" xfId="0" applyFont="1" applyBorder="1" applyProtection="1">
      <protection hidden="1"/>
    </xf>
    <xf numFmtId="0" fontId="0" fillId="0" borderId="12" xfId="0" applyFont="1" applyBorder="1" applyAlignment="1" applyProtection="1">
      <alignment horizontal="center"/>
      <protection hidden="1"/>
    </xf>
    <xf numFmtId="43" fontId="33" fillId="0" borderId="12" xfId="3" applyFont="1" applyBorder="1" applyAlignment="1" applyProtection="1">
      <protection hidden="1"/>
    </xf>
    <xf numFmtId="2" fontId="33" fillId="0" borderId="12" xfId="0" applyNumberFormat="1" applyFont="1" applyBorder="1" applyAlignment="1" applyProtection="1">
      <protection hidden="1"/>
    </xf>
    <xf numFmtId="2" fontId="33" fillId="0" borderId="12" xfId="0" applyNumberFormat="1" applyFont="1" applyFill="1" applyBorder="1" applyProtection="1">
      <protection hidden="1"/>
    </xf>
    <xf numFmtId="0" fontId="0" fillId="0" borderId="12" xfId="0" applyFont="1" applyBorder="1" applyProtection="1">
      <protection hidden="1"/>
    </xf>
    <xf numFmtId="0" fontId="0" fillId="0" borderId="68" xfId="0" applyFont="1" applyBorder="1" applyProtection="1">
      <protection hidden="1"/>
    </xf>
    <xf numFmtId="0" fontId="33" fillId="0" borderId="6" xfId="0" applyFont="1" applyBorder="1" applyAlignment="1" applyProtection="1">
      <protection hidden="1"/>
    </xf>
    <xf numFmtId="0" fontId="33" fillId="0" borderId="7" xfId="0" applyFont="1" applyBorder="1" applyAlignment="1" applyProtection="1">
      <protection hidden="1"/>
    </xf>
    <xf numFmtId="0" fontId="33" fillId="0" borderId="64" xfId="0" applyFont="1" applyBorder="1" applyAlignment="1" applyProtection="1">
      <alignment horizontal="center"/>
      <protection hidden="1"/>
    </xf>
    <xf numFmtId="0" fontId="33" fillId="0" borderId="67" xfId="0" applyFont="1" applyBorder="1" applyAlignment="1" applyProtection="1">
      <alignment horizontal="center"/>
      <protection hidden="1"/>
    </xf>
    <xf numFmtId="0" fontId="33" fillId="0" borderId="68" xfId="0" applyFont="1" applyBorder="1" applyAlignment="1" applyProtection="1">
      <alignment horizontal="center"/>
      <protection hidden="1"/>
    </xf>
    <xf numFmtId="10" fontId="33" fillId="0" borderId="67" xfId="2" applyNumberFormat="1" applyFont="1" applyBorder="1" applyAlignment="1" applyProtection="1">
      <protection hidden="1"/>
    </xf>
    <xf numFmtId="2" fontId="33" fillId="0" borderId="10" xfId="0" applyNumberFormat="1" applyFont="1" applyFill="1" applyBorder="1" applyProtection="1">
      <protection hidden="1"/>
    </xf>
    <xf numFmtId="10" fontId="33" fillId="0" borderId="68" xfId="2" applyNumberFormat="1" applyFont="1" applyBorder="1" applyAlignment="1" applyProtection="1">
      <protection hidden="1"/>
    </xf>
    <xf numFmtId="166" fontId="0" fillId="0" borderId="7" xfId="1" applyFont="1" applyFill="1" applyBorder="1" applyProtection="1">
      <protection hidden="1"/>
    </xf>
    <xf numFmtId="166" fontId="0" fillId="0" borderId="10" xfId="1" applyFont="1" applyFill="1" applyBorder="1" applyProtection="1">
      <protection hidden="1"/>
    </xf>
    <xf numFmtId="0" fontId="33" fillId="0" borderId="65" xfId="0" applyFont="1" applyBorder="1" applyAlignment="1" applyProtection="1">
      <alignment horizontal="left"/>
      <protection hidden="1"/>
    </xf>
    <xf numFmtId="0" fontId="33" fillId="0" borderId="10" xfId="0" applyFont="1" applyBorder="1" applyAlignment="1" applyProtection="1">
      <alignment horizontal="left"/>
      <protection hidden="1"/>
    </xf>
    <xf numFmtId="0" fontId="0" fillId="0" borderId="67" xfId="0" applyFont="1" applyBorder="1" applyProtection="1">
      <protection hidden="1"/>
    </xf>
    <xf numFmtId="0" fontId="0" fillId="0" borderId="64" xfId="0" applyFont="1" applyBorder="1" applyProtection="1">
      <protection hidden="1"/>
    </xf>
    <xf numFmtId="0" fontId="33" fillId="0" borderId="48" xfId="25" applyFont="1" applyBorder="1" applyAlignment="1">
      <alignment horizontal="center" vertical="center"/>
    </xf>
    <xf numFmtId="0" fontId="0" fillId="0" borderId="48" xfId="25" applyFont="1" applyBorder="1" applyAlignment="1">
      <alignment horizontal="left" vertical="center"/>
    </xf>
    <xf numFmtId="0" fontId="0" fillId="0" borderId="48" xfId="25" applyFont="1" applyBorder="1" applyAlignment="1">
      <alignment horizontal="center" vertical="center"/>
    </xf>
    <xf numFmtId="0" fontId="0" fillId="5" borderId="48" xfId="25" applyFont="1" applyFill="1" applyBorder="1" applyAlignment="1">
      <alignment horizontal="center" vertical="center"/>
    </xf>
    <xf numFmtId="0" fontId="0" fillId="0" borderId="48" xfId="0" applyFont="1" applyBorder="1" applyProtection="1">
      <protection hidden="1"/>
    </xf>
    <xf numFmtId="3" fontId="33" fillId="0" borderId="48" xfId="0" applyNumberFormat="1" applyFont="1" applyBorder="1" applyAlignment="1" applyProtection="1">
      <alignment horizontal="center" vertical="center" wrapText="1"/>
      <protection hidden="1"/>
    </xf>
    <xf numFmtId="0" fontId="33" fillId="5" borderId="48" xfId="0" applyFont="1" applyFill="1" applyBorder="1" applyAlignment="1">
      <alignment vertical="center"/>
    </xf>
    <xf numFmtId="0" fontId="19" fillId="0" borderId="48" xfId="0" applyFont="1" applyBorder="1" applyProtection="1">
      <protection hidden="1"/>
    </xf>
    <xf numFmtId="0" fontId="19" fillId="0" borderId="48" xfId="0" applyFont="1" applyBorder="1" applyAlignment="1" applyProtection="1">
      <alignment horizontal="center" vertical="center"/>
      <protection hidden="1"/>
    </xf>
    <xf numFmtId="0" fontId="20" fillId="0" borderId="48" xfId="0" applyFont="1" applyBorder="1" applyProtection="1">
      <protection hidden="1"/>
    </xf>
    <xf numFmtId="0" fontId="20" fillId="0" borderId="48" xfId="0" applyFont="1" applyBorder="1" applyAlignment="1" applyProtection="1">
      <alignment horizontal="center" vertical="center"/>
      <protection hidden="1"/>
    </xf>
    <xf numFmtId="0" fontId="19" fillId="5" borderId="48" xfId="0" applyFont="1" applyFill="1" applyBorder="1" applyProtection="1">
      <protection hidden="1"/>
    </xf>
    <xf numFmtId="0" fontId="19" fillId="5" borderId="48" xfId="0" applyFont="1" applyFill="1" applyBorder="1" applyAlignment="1" applyProtection="1">
      <alignment horizontal="center" vertical="center"/>
      <protection hidden="1"/>
    </xf>
    <xf numFmtId="0" fontId="20" fillId="5" borderId="48" xfId="0" applyFont="1" applyFill="1" applyBorder="1" applyAlignment="1" applyProtection="1">
      <alignment wrapText="1"/>
      <protection hidden="1"/>
    </xf>
    <xf numFmtId="0" fontId="20" fillId="5" borderId="48" xfId="0" applyFont="1" applyFill="1" applyBorder="1" applyAlignment="1" applyProtection="1">
      <alignment horizontal="center" vertical="center"/>
      <protection hidden="1"/>
    </xf>
    <xf numFmtId="0" fontId="20" fillId="5" borderId="48" xfId="0" applyFont="1" applyFill="1" applyBorder="1" applyProtection="1">
      <protection hidden="1"/>
    </xf>
    <xf numFmtId="0" fontId="20" fillId="0" borderId="48" xfId="0" applyFont="1" applyBorder="1" applyAlignment="1" applyProtection="1">
      <alignment wrapText="1"/>
      <protection hidden="1"/>
    </xf>
    <xf numFmtId="164" fontId="19" fillId="6" borderId="48" xfId="0" applyNumberFormat="1" applyFont="1" applyFill="1" applyBorder="1" applyAlignment="1" applyProtection="1">
      <alignment horizontal="center" vertical="center"/>
      <protection hidden="1"/>
    </xf>
    <xf numFmtId="0" fontId="33" fillId="5" borderId="8" xfId="0" applyFont="1" applyFill="1" applyBorder="1" applyAlignment="1">
      <alignment vertical="center"/>
    </xf>
    <xf numFmtId="0" fontId="20" fillId="0" borderId="11" xfId="0" applyFont="1" applyBorder="1" applyProtection="1">
      <protection hidden="1"/>
    </xf>
    <xf numFmtId="0" fontId="20" fillId="0" borderId="12" xfId="0" applyFont="1" applyBorder="1" applyAlignment="1" applyProtection="1">
      <alignment horizontal="center" vertical="center"/>
      <protection hidden="1"/>
    </xf>
    <xf numFmtId="43" fontId="20" fillId="0" borderId="12" xfId="0" applyNumberFormat="1" applyFont="1" applyBorder="1" applyAlignment="1" applyProtection="1">
      <alignment horizontal="center" vertical="center"/>
      <protection hidden="1"/>
    </xf>
    <xf numFmtId="0" fontId="33" fillId="12" borderId="48" xfId="0" applyFont="1" applyFill="1" applyBorder="1" applyAlignment="1" applyProtection="1">
      <alignment horizontal="center"/>
      <protection hidden="1"/>
    </xf>
    <xf numFmtId="0" fontId="33" fillId="9" borderId="48" xfId="0" applyFont="1" applyFill="1" applyBorder="1" applyAlignment="1" applyProtection="1">
      <alignment horizontal="center"/>
      <protection hidden="1"/>
    </xf>
    <xf numFmtId="10" fontId="33" fillId="12" borderId="48" xfId="0" applyNumberFormat="1" applyFont="1" applyFill="1" applyBorder="1" applyAlignment="1" applyProtection="1">
      <protection hidden="1"/>
    </xf>
    <xf numFmtId="166" fontId="33" fillId="12" borderId="48" xfId="1" applyFont="1" applyFill="1" applyBorder="1" applyAlignment="1" applyProtection="1">
      <protection hidden="1"/>
    </xf>
    <xf numFmtId="10" fontId="33" fillId="12" borderId="48" xfId="0" applyNumberFormat="1" applyFont="1" applyFill="1" applyBorder="1" applyAlignment="1" applyProtection="1">
      <alignment horizontal="center"/>
      <protection hidden="1"/>
    </xf>
    <xf numFmtId="2" fontId="33" fillId="12" borderId="48" xfId="0" applyNumberFormat="1" applyFont="1" applyFill="1" applyBorder="1" applyProtection="1">
      <protection hidden="1"/>
    </xf>
    <xf numFmtId="166" fontId="0" fillId="12" borderId="48" xfId="1" applyFont="1" applyFill="1" applyBorder="1" applyAlignment="1" applyProtection="1">
      <alignment horizontal="center"/>
      <protection hidden="1"/>
    </xf>
    <xf numFmtId="166" fontId="0" fillId="12" borderId="48" xfId="1" applyFont="1" applyFill="1" applyBorder="1" applyProtection="1">
      <protection hidden="1"/>
    </xf>
    <xf numFmtId="0" fontId="33" fillId="12" borderId="4" xfId="25" applyFont="1" applyFill="1" applyBorder="1" applyAlignment="1">
      <alignment horizontal="right" vertical="center"/>
    </xf>
    <xf numFmtId="14" fontId="33" fillId="12" borderId="8" xfId="25" applyNumberFormat="1" applyFont="1" applyFill="1" applyBorder="1" applyAlignment="1">
      <alignment vertical="center"/>
    </xf>
    <xf numFmtId="10" fontId="33" fillId="12" borderId="48" xfId="3" applyNumberFormat="1" applyFont="1" applyFill="1" applyBorder="1" applyAlignment="1" applyProtection="1">
      <alignment horizontal="center"/>
      <protection hidden="1"/>
    </xf>
    <xf numFmtId="10" fontId="0" fillId="12" borderId="48" xfId="2" applyNumberFormat="1" applyFont="1" applyFill="1" applyBorder="1" applyAlignment="1" applyProtection="1">
      <alignment horizontal="center"/>
      <protection hidden="1"/>
    </xf>
    <xf numFmtId="2" fontId="0" fillId="12" borderId="48" xfId="0" applyNumberFormat="1" applyFont="1" applyFill="1" applyBorder="1" applyAlignment="1" applyProtection="1">
      <alignment horizontal="center"/>
      <protection hidden="1"/>
    </xf>
    <xf numFmtId="43" fontId="33" fillId="12" borderId="48" xfId="3" applyFont="1" applyFill="1" applyBorder="1" applyAlignment="1" applyProtection="1">
      <alignment vertical="center"/>
      <protection hidden="1"/>
    </xf>
    <xf numFmtId="43" fontId="33" fillId="12" borderId="48" xfId="3" applyFont="1" applyFill="1" applyBorder="1" applyProtection="1">
      <protection hidden="1"/>
    </xf>
    <xf numFmtId="10" fontId="0" fillId="12" borderId="48" xfId="0" applyNumberFormat="1" applyFont="1" applyFill="1" applyBorder="1" applyAlignment="1" applyProtection="1">
      <alignment horizontal="center" vertical="center"/>
      <protection hidden="1"/>
    </xf>
    <xf numFmtId="2" fontId="0" fillId="12" borderId="48" xfId="0" applyNumberFormat="1" applyFont="1" applyFill="1" applyBorder="1" applyAlignment="1" applyProtection="1">
      <alignment vertical="center"/>
      <protection hidden="1"/>
    </xf>
    <xf numFmtId="0" fontId="33" fillId="5" borderId="48" xfId="0" applyFont="1" applyFill="1" applyBorder="1" applyAlignment="1">
      <alignment horizontal="center" vertical="center"/>
    </xf>
    <xf numFmtId="173" fontId="0" fillId="0" borderId="48" xfId="0" applyNumberFormat="1" applyFont="1" applyBorder="1" applyAlignment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166" fontId="35" fillId="0" borderId="0" xfId="1" applyFont="1" applyAlignment="1" applyProtection="1">
      <alignment horizontal="center"/>
      <protection hidden="1"/>
    </xf>
    <xf numFmtId="166" fontId="10" fillId="0" borderId="48" xfId="1" applyBorder="1" applyProtection="1">
      <protection hidden="1"/>
    </xf>
    <xf numFmtId="0" fontId="15" fillId="0" borderId="48" xfId="0" applyFont="1" applyBorder="1" applyAlignment="1" applyProtection="1">
      <alignment horizontal="center" vertical="center"/>
      <protection hidden="1"/>
    </xf>
    <xf numFmtId="43" fontId="6" fillId="0" borderId="0" xfId="0" applyNumberFormat="1" applyFont="1" applyAlignment="1" applyProtection="1">
      <alignment horizontal="center" vertical="center"/>
      <protection hidden="1"/>
    </xf>
    <xf numFmtId="166" fontId="36" fillId="0" borderId="69" xfId="0" applyNumberFormat="1" applyFont="1" applyBorder="1" applyProtection="1">
      <protection hidden="1"/>
    </xf>
    <xf numFmtId="0" fontId="36" fillId="0" borderId="0" xfId="0" applyFont="1" applyProtection="1">
      <protection hidden="1"/>
    </xf>
    <xf numFmtId="0" fontId="36" fillId="5" borderId="0" xfId="0" applyFont="1" applyFill="1" applyAlignment="1">
      <alignment vertical="center"/>
    </xf>
    <xf numFmtId="0" fontId="36" fillId="0" borderId="0" xfId="0" applyFont="1" applyAlignment="1">
      <alignment vertical="center"/>
    </xf>
    <xf numFmtId="2" fontId="36" fillId="0" borderId="0" xfId="0" applyNumberFormat="1" applyFont="1" applyProtection="1">
      <protection hidden="1"/>
    </xf>
    <xf numFmtId="2" fontId="36" fillId="0" borderId="0" xfId="0" applyNumberFormat="1" applyFont="1" applyBorder="1" applyProtection="1">
      <protection hidden="1"/>
    </xf>
    <xf numFmtId="166" fontId="36" fillId="0" borderId="0" xfId="1" applyFont="1" applyProtection="1">
      <protection hidden="1"/>
    </xf>
    <xf numFmtId="10" fontId="36" fillId="0" borderId="0" xfId="0" applyNumberFormat="1" applyFont="1" applyProtection="1">
      <protection hidden="1"/>
    </xf>
    <xf numFmtId="170" fontId="36" fillId="0" borderId="0" xfId="0" applyNumberFormat="1" applyFont="1" applyProtection="1">
      <protection hidden="1"/>
    </xf>
    <xf numFmtId="43" fontId="36" fillId="0" borderId="0" xfId="0" applyNumberFormat="1" applyFont="1" applyProtection="1">
      <protection hidden="1"/>
    </xf>
    <xf numFmtId="43" fontId="36" fillId="0" borderId="0" xfId="0" applyNumberFormat="1" applyFont="1" applyBorder="1" applyProtection="1">
      <protection hidden="1"/>
    </xf>
    <xf numFmtId="0" fontId="36" fillId="0" borderId="0" xfId="0" applyFont="1" applyBorder="1" applyProtection="1">
      <protection hidden="1"/>
    </xf>
    <xf numFmtId="0" fontId="36" fillId="0" borderId="0" xfId="0" applyFont="1" applyAlignment="1" applyProtection="1">
      <alignment horizontal="center"/>
      <protection hidden="1"/>
    </xf>
    <xf numFmtId="0" fontId="36" fillId="8" borderId="0" xfId="0" applyFont="1" applyFill="1" applyBorder="1" applyProtection="1">
      <protection hidden="1"/>
    </xf>
    <xf numFmtId="9" fontId="36" fillId="0" borderId="0" xfId="2" applyFont="1" applyBorder="1" applyProtection="1">
      <protection hidden="1"/>
    </xf>
    <xf numFmtId="0" fontId="36" fillId="9" borderId="0" xfId="0" applyFont="1" applyFill="1" applyProtection="1">
      <protection hidden="1"/>
    </xf>
    <xf numFmtId="0" fontId="36" fillId="9" borderId="11" xfId="0" applyFont="1" applyFill="1" applyBorder="1" applyAlignment="1" applyProtection="1">
      <protection hidden="1"/>
    </xf>
    <xf numFmtId="164" fontId="36" fillId="0" borderId="0" xfId="0" applyNumberFormat="1" applyFont="1" applyProtection="1">
      <protection hidden="1"/>
    </xf>
    <xf numFmtId="43" fontId="36" fillId="0" borderId="0" xfId="3" applyFont="1" applyProtection="1">
      <protection hidden="1"/>
    </xf>
    <xf numFmtId="0" fontId="36" fillId="9" borderId="0" xfId="0" applyFont="1" applyFill="1" applyAlignment="1" applyProtection="1">
      <alignment wrapText="1"/>
      <protection hidden="1"/>
    </xf>
    <xf numFmtId="0" fontId="37" fillId="5" borderId="0" xfId="0" applyFont="1" applyFill="1" applyProtection="1">
      <protection hidden="1"/>
    </xf>
    <xf numFmtId="0" fontId="36" fillId="11" borderId="0" xfId="0" applyFont="1" applyFill="1" applyProtection="1">
      <protection hidden="1"/>
    </xf>
    <xf numFmtId="166" fontId="38" fillId="0" borderId="0" xfId="1" applyFont="1" applyProtection="1">
      <protection hidden="1"/>
    </xf>
    <xf numFmtId="43" fontId="38" fillId="6" borderId="2" xfId="3" applyFont="1" applyFill="1" applyBorder="1" applyAlignment="1" applyProtection="1">
      <alignment vertical="center"/>
      <protection hidden="1"/>
    </xf>
    <xf numFmtId="0" fontId="37" fillId="0" borderId="0" xfId="0" applyFont="1" applyAlignment="1" applyProtection="1">
      <alignment horizontal="center"/>
      <protection hidden="1"/>
    </xf>
    <xf numFmtId="166" fontId="37" fillId="0" borderId="0" xfId="1" applyFont="1" applyAlignment="1" applyProtection="1">
      <alignment horizontal="center"/>
      <protection hidden="1"/>
    </xf>
    <xf numFmtId="172" fontId="0" fillId="0" borderId="48" xfId="2" applyNumberFormat="1" applyFont="1" applyFill="1" applyBorder="1" applyAlignment="1" applyProtection="1">
      <alignment horizontal="center"/>
      <protection hidden="1"/>
    </xf>
    <xf numFmtId="172" fontId="0" fillId="0" borderId="48" xfId="2" applyNumberFormat="1" applyFont="1" applyBorder="1" applyAlignment="1" applyProtection="1">
      <alignment horizontal="center"/>
      <protection hidden="1"/>
    </xf>
    <xf numFmtId="172" fontId="0" fillId="5" borderId="48" xfId="2" applyNumberFormat="1" applyFont="1" applyFill="1" applyBorder="1" applyAlignment="1" applyProtection="1">
      <alignment horizontal="center"/>
      <protection hidden="1"/>
    </xf>
    <xf numFmtId="172" fontId="0" fillId="10" borderId="48" xfId="2" applyNumberFormat="1" applyFont="1" applyFill="1" applyBorder="1" applyAlignment="1" applyProtection="1">
      <alignment horizontal="center"/>
      <protection hidden="1"/>
    </xf>
    <xf numFmtId="172" fontId="0" fillId="10" borderId="48" xfId="0" applyNumberFormat="1" applyFont="1" applyFill="1" applyBorder="1" applyAlignment="1" applyProtection="1">
      <alignment horizontal="center"/>
      <protection hidden="1"/>
    </xf>
    <xf numFmtId="172" fontId="0" fillId="0" borderId="48" xfId="0" applyNumberFormat="1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33" fillId="0" borderId="48" xfId="25" applyFont="1" applyBorder="1" applyAlignment="1">
      <alignment horizontal="center" vertical="center"/>
    </xf>
    <xf numFmtId="0" fontId="33" fillId="5" borderId="11" xfId="25" applyFont="1" applyFill="1" applyBorder="1" applyAlignment="1">
      <alignment horizontal="center" vertical="center"/>
    </xf>
    <xf numFmtId="0" fontId="33" fillId="5" borderId="0" xfId="25" applyFont="1" applyFill="1" applyBorder="1" applyAlignment="1">
      <alignment horizontal="center" vertical="center"/>
    </xf>
    <xf numFmtId="0" fontId="33" fillId="5" borderId="12" xfId="25" applyFont="1" applyFill="1" applyBorder="1" applyAlignment="1">
      <alignment horizontal="center" vertical="center"/>
    </xf>
    <xf numFmtId="0" fontId="33" fillId="12" borderId="48" xfId="0" applyFont="1" applyFill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alignment horizontal="center"/>
      <protection hidden="1"/>
    </xf>
    <xf numFmtId="166" fontId="0" fillId="5" borderId="48" xfId="1" applyFont="1" applyFill="1" applyBorder="1" applyAlignment="1" applyProtection="1">
      <alignment vertical="center" wrapText="1"/>
      <protection hidden="1"/>
    </xf>
    <xf numFmtId="0" fontId="0" fillId="0" borderId="48" xfId="0" applyFont="1" applyBorder="1" applyAlignment="1" applyProtection="1">
      <protection hidden="1"/>
    </xf>
    <xf numFmtId="0" fontId="33" fillId="0" borderId="48" xfId="0" applyFont="1" applyBorder="1" applyAlignment="1" applyProtection="1">
      <protection hidden="1"/>
    </xf>
    <xf numFmtId="0" fontId="33" fillId="0" borderId="11" xfId="0" applyFont="1" applyBorder="1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3" fillId="0" borderId="65" xfId="0" applyFont="1" applyBorder="1" applyAlignment="1" applyProtection="1">
      <alignment horizontal="left"/>
      <protection hidden="1"/>
    </xf>
    <xf numFmtId="0" fontId="33" fillId="0" borderId="10" xfId="0" applyFont="1" applyBorder="1" applyAlignment="1" applyProtection="1">
      <alignment horizontal="left"/>
      <protection hidden="1"/>
    </xf>
    <xf numFmtId="10" fontId="33" fillId="0" borderId="67" xfId="2" applyNumberFormat="1" applyFont="1" applyBorder="1" applyAlignment="1" applyProtection="1">
      <protection hidden="1"/>
    </xf>
    <xf numFmtId="10" fontId="33" fillId="0" borderId="68" xfId="2" applyNumberFormat="1" applyFont="1" applyBorder="1" applyAlignment="1" applyProtection="1">
      <protection hidden="1"/>
    </xf>
    <xf numFmtId="0" fontId="33" fillId="12" borderId="48" xfId="0" applyFont="1" applyFill="1" applyBorder="1" applyAlignment="1" applyProtection="1">
      <alignment horizontal="center" vertical="center"/>
      <protection hidden="1"/>
    </xf>
    <xf numFmtId="10" fontId="0" fillId="0" borderId="48" xfId="0" applyNumberFormat="1" applyFont="1" applyBorder="1" applyAlignment="1" applyProtection="1">
      <alignment horizontal="center"/>
      <protection hidden="1"/>
    </xf>
    <xf numFmtId="174" fontId="17" fillId="0" borderId="0" xfId="0" applyNumberFormat="1" applyFont="1" applyProtection="1">
      <protection hidden="1"/>
    </xf>
    <xf numFmtId="2" fontId="33" fillId="0" borderId="10" xfId="0" applyNumberFormat="1" applyFont="1" applyFill="1" applyBorder="1" applyAlignment="1" applyProtection="1">
      <alignment vertical="center"/>
      <protection hidden="1"/>
    </xf>
    <xf numFmtId="166" fontId="0" fillId="0" borderId="10" xfId="1" applyFont="1" applyFill="1" applyBorder="1" applyAlignment="1" applyProtection="1">
      <alignment vertical="center"/>
      <protection hidden="1"/>
    </xf>
    <xf numFmtId="2" fontId="33" fillId="9" borderId="48" xfId="0" applyNumberFormat="1" applyFont="1" applyFill="1" applyBorder="1" applyProtection="1">
      <protection hidden="1"/>
    </xf>
    <xf numFmtId="10" fontId="0" fillId="0" borderId="48" xfId="2" applyNumberFormat="1" applyFont="1" applyFill="1" applyBorder="1" applyAlignment="1" applyProtection="1">
      <alignment horizontal="center"/>
      <protection hidden="1"/>
    </xf>
    <xf numFmtId="10" fontId="0" fillId="5" borderId="48" xfId="2" applyNumberFormat="1" applyFont="1" applyFill="1" applyBorder="1" applyAlignment="1" applyProtection="1">
      <alignment horizontal="center"/>
      <protection hidden="1"/>
    </xf>
    <xf numFmtId="10" fontId="0" fillId="5" borderId="48" xfId="0" applyNumberFormat="1" applyFont="1" applyFill="1" applyBorder="1" applyAlignment="1" applyProtection="1">
      <alignment horizontal="center"/>
      <protection hidden="1"/>
    </xf>
    <xf numFmtId="10" fontId="33" fillId="9" borderId="48" xfId="0" applyNumberFormat="1" applyFont="1" applyFill="1" applyBorder="1" applyAlignment="1" applyProtection="1">
      <alignment horizontal="center"/>
      <protection hidden="1"/>
    </xf>
    <xf numFmtId="10" fontId="33" fillId="15" borderId="48" xfId="2" applyNumberFormat="1" applyFont="1" applyFill="1" applyBorder="1" applyAlignment="1" applyProtection="1">
      <protection hidden="1"/>
    </xf>
    <xf numFmtId="0" fontId="33" fillId="0" borderId="0" xfId="0" applyFont="1" applyBorder="1" applyAlignment="1" applyProtection="1">
      <protection hidden="1"/>
    </xf>
    <xf numFmtId="0" fontId="34" fillId="0" borderId="0" xfId="0" applyFont="1" applyBorder="1" applyProtection="1">
      <protection hidden="1"/>
    </xf>
    <xf numFmtId="0" fontId="16" fillId="0" borderId="0" xfId="0" applyFont="1" applyBorder="1" applyProtection="1">
      <protection hidden="1"/>
    </xf>
    <xf numFmtId="0" fontId="0" fillId="0" borderId="64" xfId="0" applyFont="1" applyFill="1" applyBorder="1" applyAlignment="1" applyProtection="1">
      <alignment horizontal="center"/>
      <protection hidden="1"/>
    </xf>
    <xf numFmtId="0" fontId="0" fillId="0" borderId="61" xfId="0" applyFont="1" applyBorder="1" applyAlignment="1" applyProtection="1">
      <alignment horizontal="center"/>
      <protection hidden="1"/>
    </xf>
    <xf numFmtId="166" fontId="10" fillId="0" borderId="48" xfId="1" applyFill="1" applyBorder="1" applyProtection="1">
      <protection hidden="1"/>
    </xf>
    <xf numFmtId="166" fontId="10" fillId="0" borderId="64" xfId="1" applyFill="1" applyBorder="1" applyProtection="1">
      <protection hidden="1"/>
    </xf>
    <xf numFmtId="166" fontId="10" fillId="0" borderId="14" xfId="1" applyBorder="1" applyProtection="1">
      <protection hidden="1"/>
    </xf>
    <xf numFmtId="166" fontId="33" fillId="0" borderId="7" xfId="1" applyFont="1" applyFill="1" applyBorder="1" applyAlignment="1" applyProtection="1">
      <alignment vertical="center"/>
      <protection hidden="1"/>
    </xf>
    <xf numFmtId="166" fontId="33" fillId="15" borderId="51" xfId="1" applyFont="1" applyFill="1" applyBorder="1" applyProtection="1">
      <protection hidden="1"/>
    </xf>
    <xf numFmtId="0" fontId="30" fillId="0" borderId="0" xfId="33" applyFont="1" applyFill="1" applyBorder="1" applyAlignment="1"/>
    <xf numFmtId="0" fontId="22" fillId="0" borderId="0" xfId="33" applyFont="1" applyFill="1"/>
    <xf numFmtId="166" fontId="10" fillId="0" borderId="0" xfId="1" applyFill="1" applyAlignment="1">
      <alignment vertical="center"/>
    </xf>
    <xf numFmtId="166" fontId="10" fillId="0" borderId="0" xfId="1" applyFill="1" applyAlignment="1">
      <alignment horizontal="center" vertical="center"/>
    </xf>
    <xf numFmtId="0" fontId="31" fillId="0" borderId="0" xfId="33" applyFont="1" applyFill="1" applyBorder="1" applyAlignment="1"/>
    <xf numFmtId="0" fontId="31" fillId="0" borderId="0" xfId="33" applyFont="1" applyFill="1" applyBorder="1" applyAlignment="1">
      <alignment vertical="top"/>
    </xf>
    <xf numFmtId="0" fontId="30" fillId="0" borderId="0" xfId="33" applyFont="1" applyFill="1" applyBorder="1" applyAlignment="1">
      <alignment wrapText="1"/>
    </xf>
    <xf numFmtId="0" fontId="32" fillId="0" borderId="0" xfId="33" applyFont="1" applyFill="1" applyBorder="1" applyAlignment="1">
      <alignment horizontal="center"/>
    </xf>
    <xf numFmtId="4" fontId="22" fillId="0" borderId="0" xfId="33" applyNumberFormat="1" applyFont="1" applyFill="1"/>
    <xf numFmtId="2" fontId="32" fillId="0" borderId="0" xfId="33" applyNumberFormat="1" applyFont="1" applyFill="1"/>
    <xf numFmtId="43" fontId="22" fillId="0" borderId="0" xfId="33" applyNumberFormat="1" applyFont="1" applyFill="1"/>
    <xf numFmtId="0" fontId="30" fillId="0" borderId="0" xfId="33" applyFont="1" applyFill="1" applyAlignment="1">
      <alignment horizontal="center"/>
    </xf>
    <xf numFmtId="0" fontId="30" fillId="0" borderId="0" xfId="33" applyFont="1" applyFill="1" applyAlignment="1">
      <alignment horizontal="left"/>
    </xf>
    <xf numFmtId="0" fontId="32" fillId="0" borderId="0" xfId="33" applyFont="1" applyFill="1"/>
    <xf numFmtId="0" fontId="30" fillId="0" borderId="0" xfId="33" applyFont="1" applyFill="1"/>
    <xf numFmtId="0" fontId="30" fillId="0" borderId="0" xfId="33" applyFont="1" applyFill="1" applyAlignment="1">
      <alignment horizontal="center"/>
    </xf>
    <xf numFmtId="0" fontId="32" fillId="0" borderId="0" xfId="33" applyFont="1" applyFill="1" applyAlignment="1">
      <alignment horizontal="center"/>
    </xf>
    <xf numFmtId="0" fontId="30" fillId="0" borderId="48" xfId="33" applyFont="1" applyFill="1" applyBorder="1" applyAlignment="1">
      <alignment horizontal="center" vertical="center" wrapText="1"/>
    </xf>
    <xf numFmtId="0" fontId="30" fillId="0" borderId="52" xfId="33" applyFont="1" applyFill="1" applyBorder="1" applyAlignment="1">
      <alignment horizontal="center" vertical="center"/>
    </xf>
    <xf numFmtId="0" fontId="30" fillId="0" borderId="70" xfId="33" applyFont="1" applyFill="1" applyBorder="1" applyAlignment="1">
      <alignment horizontal="center" vertical="center"/>
    </xf>
    <xf numFmtId="0" fontId="30" fillId="0" borderId="53" xfId="33" applyFont="1" applyFill="1" applyBorder="1" applyAlignment="1">
      <alignment horizontal="center" vertical="center" wrapText="1"/>
    </xf>
    <xf numFmtId="0" fontId="31" fillId="0" borderId="69" xfId="33" applyFont="1" applyFill="1" applyBorder="1" applyAlignment="1">
      <alignment horizontal="center" vertical="center" wrapText="1"/>
    </xf>
    <xf numFmtId="4" fontId="31" fillId="0" borderId="71" xfId="33" applyNumberFormat="1" applyFont="1" applyFill="1" applyBorder="1" applyAlignment="1">
      <alignment horizontal="center" vertical="center" wrapText="1"/>
    </xf>
    <xf numFmtId="43" fontId="31" fillId="0" borderId="69" xfId="34" applyFont="1" applyFill="1" applyBorder="1" applyAlignment="1">
      <alignment horizontal="center" vertical="center" wrapText="1"/>
    </xf>
    <xf numFmtId="0" fontId="31" fillId="0" borderId="0" xfId="33" applyFont="1" applyFill="1" applyBorder="1" applyAlignment="1">
      <alignment horizontal="left" vertical="top" wrapText="1"/>
    </xf>
    <xf numFmtId="49" fontId="30" fillId="0" borderId="50" xfId="33" applyNumberFormat="1" applyFont="1" applyFill="1" applyBorder="1" applyAlignment="1">
      <alignment horizontal="center" vertical="center" wrapText="1"/>
    </xf>
    <xf numFmtId="0" fontId="30" fillId="0" borderId="0" xfId="33" applyFont="1" applyAlignment="1"/>
    <xf numFmtId="0" fontId="10" fillId="0" borderId="0" xfId="0" applyFont="1" applyAlignment="1"/>
    <xf numFmtId="0" fontId="31" fillId="0" borderId="0" xfId="33" applyFont="1" applyAlignment="1"/>
    <xf numFmtId="0" fontId="33" fillId="0" borderId="0" xfId="0" applyFont="1" applyAlignment="1"/>
    <xf numFmtId="0" fontId="10" fillId="0" borderId="0" xfId="0" applyFont="1" applyAlignment="1">
      <alignment horizontal="justify" vertical="justify"/>
    </xf>
    <xf numFmtId="166" fontId="10" fillId="0" borderId="0" xfId="1" applyFill="1" applyAlignment="1">
      <alignment horizontal="justify" vertical="justify"/>
    </xf>
    <xf numFmtId="0" fontId="22" fillId="0" borderId="0" xfId="33" applyFont="1" applyFill="1" applyAlignment="1">
      <alignment horizontal="justify" vertical="justify"/>
    </xf>
    <xf numFmtId="0" fontId="10" fillId="0" borderId="0" xfId="0" applyFont="1" applyAlignment="1">
      <alignment horizontal="justify" vertical="justify" wrapText="1"/>
    </xf>
    <xf numFmtId="49" fontId="10" fillId="0" borderId="48" xfId="0" applyNumberFormat="1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30" fillId="0" borderId="63" xfId="33" applyFont="1" applyFill="1" applyBorder="1" applyAlignment="1">
      <alignment horizontal="center" vertical="center"/>
    </xf>
    <xf numFmtId="0" fontId="30" fillId="0" borderId="3" xfId="33" applyFont="1" applyFill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164" fontId="39" fillId="13" borderId="73" xfId="33" applyNumberFormat="1" applyFont="1" applyFill="1" applyBorder="1" applyAlignment="1">
      <alignment vertical="center"/>
    </xf>
    <xf numFmtId="166" fontId="33" fillId="9" borderId="74" xfId="1" applyFont="1" applyFill="1" applyBorder="1" applyAlignment="1">
      <alignment horizontal="center" vertical="center" wrapText="1"/>
    </xf>
    <xf numFmtId="43" fontId="31" fillId="9" borderId="69" xfId="34" applyFont="1" applyFill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0" fontId="33" fillId="0" borderId="53" xfId="0" applyFont="1" applyBorder="1" applyAlignment="1">
      <alignment horizontal="center" vertical="center" wrapText="1"/>
    </xf>
    <xf numFmtId="166" fontId="10" fillId="0" borderId="48" xfId="1" applyBorder="1" applyAlignment="1">
      <alignment horizontal="center" vertical="center" wrapText="1"/>
    </xf>
    <xf numFmtId="49" fontId="10" fillId="0" borderId="53" xfId="0" applyNumberFormat="1" applyFont="1" applyBorder="1" applyAlignment="1">
      <alignment horizontal="center" vertical="center" wrapText="1"/>
    </xf>
    <xf numFmtId="166" fontId="10" fillId="0" borderId="53" xfId="1" applyBorder="1" applyAlignment="1">
      <alignment horizontal="center" vertical="center" wrapText="1"/>
    </xf>
    <xf numFmtId="166" fontId="33" fillId="9" borderId="69" xfId="1" applyFont="1" applyFill="1" applyBorder="1" applyAlignment="1">
      <alignment horizontal="center" vertical="center" wrapText="1"/>
    </xf>
    <xf numFmtId="166" fontId="10" fillId="0" borderId="3" xfId="1" applyBorder="1" applyAlignment="1">
      <alignment horizontal="center" vertical="center" wrapText="1"/>
    </xf>
    <xf numFmtId="49" fontId="10" fillId="0" borderId="16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49" fontId="30" fillId="0" borderId="0" xfId="33" applyNumberFormat="1" applyFont="1" applyFill="1" applyBorder="1" applyAlignment="1">
      <alignment horizontal="center" vertical="center" wrapText="1"/>
    </xf>
    <xf numFmtId="0" fontId="40" fillId="0" borderId="0" xfId="33" applyFont="1" applyAlignment="1"/>
    <xf numFmtId="0" fontId="3" fillId="0" borderId="0" xfId="33" applyFont="1" applyFill="1" applyAlignment="1">
      <alignment horizontal="justify" vertical="justify"/>
    </xf>
    <xf numFmtId="0" fontId="33" fillId="0" borderId="48" xfId="25" applyFont="1" applyBorder="1" applyAlignment="1">
      <alignment horizontal="center" vertical="center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alignment horizontal="center"/>
      <protection hidden="1"/>
    </xf>
    <xf numFmtId="0" fontId="0" fillId="0" borderId="11" xfId="0" applyFont="1" applyBorder="1" applyAlignment="1" applyProtection="1">
      <alignment horizontal="center"/>
      <protection hidden="1"/>
    </xf>
    <xf numFmtId="166" fontId="0" fillId="5" borderId="48" xfId="1" applyFont="1" applyFill="1" applyBorder="1" applyAlignment="1" applyProtection="1">
      <alignment vertical="center" wrapText="1"/>
      <protection hidden="1"/>
    </xf>
    <xf numFmtId="0" fontId="33" fillId="0" borderId="11" xfId="0" applyFont="1" applyBorder="1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3" fillId="0" borderId="65" xfId="0" applyFont="1" applyBorder="1" applyAlignment="1" applyProtection="1">
      <alignment horizontal="left" vertical="center"/>
      <protection hidden="1"/>
    </xf>
    <xf numFmtId="0" fontId="33" fillId="0" borderId="10" xfId="0" applyFont="1" applyBorder="1" applyAlignment="1" applyProtection="1">
      <alignment horizontal="left" vertical="center"/>
      <protection hidden="1"/>
    </xf>
    <xf numFmtId="10" fontId="33" fillId="0" borderId="67" xfId="2" applyNumberFormat="1" applyFont="1" applyBorder="1" applyAlignment="1" applyProtection="1">
      <alignment vertical="center"/>
      <protection hidden="1"/>
    </xf>
    <xf numFmtId="10" fontId="33" fillId="0" borderId="68" xfId="2" applyNumberFormat="1" applyFont="1" applyBorder="1" applyAlignment="1" applyProtection="1">
      <alignment vertical="center"/>
      <protection hidden="1"/>
    </xf>
    <xf numFmtId="0" fontId="33" fillId="12" borderId="48" xfId="0" applyFont="1" applyFill="1" applyBorder="1" applyAlignment="1" applyProtection="1">
      <alignment horizontal="center"/>
      <protection hidden="1"/>
    </xf>
    <xf numFmtId="0" fontId="33" fillId="5" borderId="48" xfId="0" applyFont="1" applyFill="1" applyBorder="1" applyAlignment="1" applyProtection="1">
      <alignment horizontal="center"/>
      <protection hidden="1"/>
    </xf>
    <xf numFmtId="0" fontId="33" fillId="6" borderId="48" xfId="0" applyFont="1" applyFill="1" applyBorder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8" fillId="5" borderId="11" xfId="35" applyFont="1" applyFill="1" applyBorder="1" applyAlignment="1">
      <alignment horizontal="center" vertical="center"/>
    </xf>
    <xf numFmtId="0" fontId="18" fillId="5" borderId="0" xfId="35" applyFont="1" applyFill="1" applyAlignment="1">
      <alignment horizontal="center" vertical="center"/>
    </xf>
    <xf numFmtId="0" fontId="18" fillId="5" borderId="12" xfId="35" applyFont="1" applyFill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hidden="1"/>
    </xf>
    <xf numFmtId="164" fontId="20" fillId="0" borderId="0" xfId="0" applyNumberFormat="1" applyFont="1" applyAlignment="1" applyProtection="1">
      <alignment horizontal="center" vertical="center"/>
      <protection hidden="1"/>
    </xf>
    <xf numFmtId="166" fontId="19" fillId="0" borderId="48" xfId="1" applyFont="1" applyBorder="1" applyAlignment="1" applyProtection="1">
      <alignment horizontal="center" vertical="center"/>
      <protection hidden="1"/>
    </xf>
    <xf numFmtId="166" fontId="19" fillId="6" borderId="48" xfId="1" applyFont="1" applyFill="1" applyBorder="1" applyAlignment="1" applyProtection="1">
      <alignment horizontal="center" vertical="center"/>
      <protection hidden="1"/>
    </xf>
    <xf numFmtId="0" fontId="19" fillId="0" borderId="11" xfId="0" applyFont="1" applyBorder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166" fontId="19" fillId="0" borderId="12" xfId="1" applyFont="1" applyFill="1" applyBorder="1" applyAlignment="1" applyProtection="1">
      <alignment horizontal="center" vertical="center"/>
      <protection hidden="1"/>
    </xf>
    <xf numFmtId="166" fontId="19" fillId="5" borderId="48" xfId="1" applyFont="1" applyFill="1" applyBorder="1" applyAlignment="1" applyProtection="1">
      <alignment horizontal="center" vertical="center"/>
      <protection hidden="1"/>
    </xf>
    <xf numFmtId="166" fontId="18" fillId="5" borderId="48" xfId="1" applyFont="1" applyFill="1" applyBorder="1" applyAlignment="1" applyProtection="1">
      <alignment horizontal="center" vertical="center"/>
      <protection hidden="1"/>
    </xf>
    <xf numFmtId="166" fontId="19" fillId="14" borderId="48" xfId="1" applyFont="1" applyFill="1" applyBorder="1" applyAlignment="1" applyProtection="1">
      <alignment horizontal="center" vertical="center"/>
      <protection hidden="1"/>
    </xf>
    <xf numFmtId="164" fontId="19" fillId="14" borderId="48" xfId="0" applyNumberFormat="1" applyFont="1" applyFill="1" applyBorder="1" applyAlignment="1" applyProtection="1">
      <alignment horizontal="center" vertical="center"/>
      <protection hidden="1"/>
    </xf>
    <xf numFmtId="0" fontId="33" fillId="6" borderId="48" xfId="0" applyFont="1" applyFill="1" applyBorder="1" applyAlignment="1" applyProtection="1">
      <alignment horizontal="center" vertical="center" wrapText="1"/>
      <protection hidden="1"/>
    </xf>
    <xf numFmtId="166" fontId="33" fillId="6" borderId="48" xfId="1" applyFont="1" applyFill="1" applyBorder="1" applyAlignment="1" applyProtection="1">
      <protection hidden="1"/>
    </xf>
    <xf numFmtId="166" fontId="33" fillId="6" borderId="48" xfId="1" applyFont="1" applyFill="1" applyBorder="1" applyProtection="1">
      <protection hidden="1"/>
    </xf>
    <xf numFmtId="10" fontId="33" fillId="6" borderId="48" xfId="3" applyNumberFormat="1" applyFont="1" applyFill="1" applyBorder="1" applyAlignment="1" applyProtection="1">
      <alignment horizontal="center"/>
      <protection hidden="1"/>
    </xf>
    <xf numFmtId="166" fontId="33" fillId="12" borderId="48" xfId="1" applyFont="1" applyFill="1" applyBorder="1" applyProtection="1">
      <protection hidden="1"/>
    </xf>
    <xf numFmtId="0" fontId="42" fillId="0" borderId="0" xfId="35" applyFont="1"/>
    <xf numFmtId="0" fontId="2" fillId="0" borderId="0" xfId="0" applyFont="1" applyBorder="1" applyProtection="1"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horizontal="center" vertical="center"/>
      <protection hidden="1"/>
    </xf>
    <xf numFmtId="166" fontId="0" fillId="5" borderId="0" xfId="1" applyFont="1" applyFill="1" applyBorder="1" applyProtection="1">
      <protection hidden="1"/>
    </xf>
    <xf numFmtId="10" fontId="0" fillId="0" borderId="0" xfId="2" applyNumberFormat="1" applyFont="1" applyBorder="1" applyAlignment="1" applyProtection="1">
      <alignment horizontal="center"/>
      <protection hidden="1"/>
    </xf>
    <xf numFmtId="0" fontId="0" fillId="0" borderId="0" xfId="2" applyNumberFormat="1" applyFont="1" applyFill="1" applyBorder="1" applyAlignment="1" applyProtection="1">
      <alignment horizontal="center"/>
      <protection hidden="1"/>
    </xf>
    <xf numFmtId="2" fontId="0" fillId="0" borderId="0" xfId="2" applyNumberFormat="1" applyFont="1" applyFill="1" applyBorder="1" applyAlignment="1" applyProtection="1">
      <alignment horizontal="center"/>
      <protection hidden="1"/>
    </xf>
    <xf numFmtId="49" fontId="0" fillId="0" borderId="0" xfId="2" applyNumberFormat="1" applyFont="1" applyFill="1" applyBorder="1" applyAlignment="1" applyProtection="1">
      <alignment horizontal="center"/>
      <protection hidden="1"/>
    </xf>
    <xf numFmtId="0" fontId="42" fillId="0" borderId="0" xfId="35" applyFont="1"/>
    <xf numFmtId="0" fontId="33" fillId="12" borderId="48" xfId="0" applyFont="1" applyFill="1" applyBorder="1" applyAlignment="1" applyProtection="1">
      <alignment horizontal="center"/>
      <protection hidden="1"/>
    </xf>
    <xf numFmtId="0" fontId="33" fillId="0" borderId="65" xfId="0" applyFont="1" applyBorder="1" applyAlignment="1" applyProtection="1">
      <alignment horizontal="left" vertical="center"/>
      <protection hidden="1"/>
    </xf>
    <xf numFmtId="0" fontId="33" fillId="0" borderId="10" xfId="0" applyFont="1" applyBorder="1" applyAlignment="1" applyProtection="1">
      <alignment horizontal="left" vertical="center"/>
      <protection hidden="1"/>
    </xf>
    <xf numFmtId="10" fontId="33" fillId="0" borderId="67" xfId="2" applyNumberFormat="1" applyFont="1" applyBorder="1" applyAlignment="1" applyProtection="1">
      <alignment vertical="center"/>
      <protection hidden="1"/>
    </xf>
    <xf numFmtId="10" fontId="33" fillId="0" borderId="68" xfId="2" applyNumberFormat="1" applyFont="1" applyBorder="1" applyAlignment="1" applyProtection="1">
      <alignment vertical="center"/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3" fillId="0" borderId="48" xfId="0" applyFont="1" applyBorder="1" applyAlignment="1" applyProtection="1">
      <protection hidden="1"/>
    </xf>
    <xf numFmtId="0" fontId="0" fillId="0" borderId="11" xfId="0" applyFont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33" fillId="6" borderId="48" xfId="0" applyFont="1" applyFill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alignment horizontal="center"/>
      <protection hidden="1"/>
    </xf>
    <xf numFmtId="0" fontId="33" fillId="0" borderId="11" xfId="0" applyFont="1" applyBorder="1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0" fillId="5" borderId="48" xfId="0" applyFont="1" applyFill="1" applyBorder="1" applyAlignment="1" applyProtection="1">
      <alignment horizontal="center" vertical="center"/>
      <protection hidden="1"/>
    </xf>
    <xf numFmtId="166" fontId="0" fillId="5" borderId="48" xfId="1" applyFont="1" applyFill="1" applyBorder="1" applyAlignment="1" applyProtection="1">
      <alignment vertical="center"/>
      <protection hidden="1"/>
    </xf>
    <xf numFmtId="0" fontId="33" fillId="5" borderId="48" xfId="0" applyFont="1" applyFill="1" applyBorder="1" applyAlignment="1" applyProtection="1">
      <alignment horizontal="center"/>
      <protection hidden="1"/>
    </xf>
    <xf numFmtId="0" fontId="33" fillId="6" borderId="48" xfId="0" applyFont="1" applyFill="1" applyBorder="1" applyAlignment="1" applyProtection="1">
      <alignment horizontal="center" vertical="center" wrapText="1"/>
      <protection hidden="1"/>
    </xf>
    <xf numFmtId="0" fontId="33" fillId="0" borderId="48" xfId="25" applyFont="1" applyBorder="1" applyAlignment="1">
      <alignment horizontal="center" vertical="center"/>
    </xf>
    <xf numFmtId="49" fontId="0" fillId="0" borderId="0" xfId="0" applyNumberFormat="1" applyAlignment="1">
      <alignment horizontal="left" wrapText="1"/>
    </xf>
    <xf numFmtId="49" fontId="33" fillId="0" borderId="80" xfId="0" applyNumberFormat="1" applyFont="1" applyBorder="1" applyAlignment="1">
      <alignment horizontal="center"/>
    </xf>
    <xf numFmtId="49" fontId="33" fillId="0" borderId="81" xfId="0" applyNumberFormat="1" applyFont="1" applyBorder="1" applyAlignment="1">
      <alignment horizontal="center"/>
    </xf>
    <xf numFmtId="49" fontId="33" fillId="0" borderId="82" xfId="0" applyNumberFormat="1" applyFont="1" applyBorder="1" applyAlignment="1">
      <alignment horizontal="center"/>
    </xf>
    <xf numFmtId="175" fontId="33" fillId="16" borderId="83" xfId="0" applyNumberFormat="1" applyFont="1" applyFill="1" applyBorder="1" applyAlignment="1" applyProtection="1">
      <alignment horizontal="right"/>
      <protection locked="0"/>
    </xf>
    <xf numFmtId="49" fontId="33" fillId="0" borderId="71" xfId="0" applyNumberFormat="1" applyFont="1" applyBorder="1" applyAlignment="1">
      <alignment horizontal="center"/>
    </xf>
    <xf numFmtId="49" fontId="33" fillId="0" borderId="72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49" fontId="33" fillId="0" borderId="75" xfId="0" applyNumberFormat="1" applyFont="1" applyBorder="1" applyAlignment="1">
      <alignment horizontal="center"/>
    </xf>
    <xf numFmtId="49" fontId="33" fillId="0" borderId="73" xfId="0" applyNumberFormat="1" applyFont="1" applyBorder="1" applyAlignment="1">
      <alignment horizontal="center"/>
    </xf>
    <xf numFmtId="0" fontId="0" fillId="5" borderId="48" xfId="0" applyFont="1" applyFill="1" applyBorder="1" applyAlignment="1" applyProtection="1">
      <protection hidden="1"/>
    </xf>
    <xf numFmtId="0" fontId="0" fillId="5" borderId="66" xfId="0" applyFont="1" applyFill="1" applyBorder="1" applyAlignment="1" applyProtection="1">
      <protection hidden="1"/>
    </xf>
    <xf numFmtId="0" fontId="0" fillId="5" borderId="4" xfId="0" applyFont="1" applyFill="1" applyBorder="1" applyAlignment="1" applyProtection="1">
      <protection hidden="1"/>
    </xf>
    <xf numFmtId="0" fontId="0" fillId="5" borderId="8" xfId="0" applyFont="1" applyFill="1" applyBorder="1" applyAlignment="1" applyProtection="1">
      <protection hidden="1"/>
    </xf>
    <xf numFmtId="0" fontId="33" fillId="6" borderId="48" xfId="0" applyFont="1" applyFill="1" applyBorder="1" applyAlignment="1" applyProtection="1">
      <alignment horizontal="center" vertical="center"/>
      <protection hidden="1"/>
    </xf>
    <xf numFmtId="0" fontId="10" fillId="5" borderId="0" xfId="25" applyFont="1" applyFill="1" applyBorder="1"/>
    <xf numFmtId="0" fontId="10" fillId="5" borderId="48" xfId="25" applyFont="1" applyFill="1" applyBorder="1"/>
    <xf numFmtId="166" fontId="10" fillId="5" borderId="48" xfId="1" applyFont="1" applyFill="1" applyBorder="1"/>
    <xf numFmtId="176" fontId="10" fillId="5" borderId="48" xfId="6" applyNumberFormat="1" applyFont="1" applyFill="1" applyBorder="1"/>
    <xf numFmtId="0" fontId="33" fillId="5" borderId="48" xfId="25" applyFont="1" applyFill="1" applyBorder="1" applyAlignment="1">
      <alignment horizontal="center"/>
    </xf>
    <xf numFmtId="0" fontId="33" fillId="5" borderId="48" xfId="25" applyFont="1" applyFill="1" applyBorder="1"/>
    <xf numFmtId="166" fontId="33" fillId="5" borderId="48" xfId="1" applyFont="1" applyFill="1" applyBorder="1"/>
    <xf numFmtId="0" fontId="10" fillId="5" borderId="48" xfId="25" applyFont="1" applyFill="1" applyBorder="1" applyAlignment="1">
      <alignment horizontal="center"/>
    </xf>
    <xf numFmtId="0" fontId="34" fillId="0" borderId="0" xfId="25" applyFont="1"/>
    <xf numFmtId="43" fontId="10" fillId="5" borderId="48" xfId="6" applyFont="1" applyFill="1" applyBorder="1"/>
    <xf numFmtId="43" fontId="33" fillId="5" borderId="48" xfId="6" applyFont="1" applyFill="1" applyBorder="1"/>
    <xf numFmtId="164" fontId="10" fillId="5" borderId="48" xfId="9" applyFont="1" applyFill="1" applyBorder="1"/>
    <xf numFmtId="0" fontId="33" fillId="5" borderId="48" xfId="9" applyNumberFormat="1" applyFont="1" applyFill="1" applyBorder="1" applyAlignment="1">
      <alignment horizontal="center"/>
    </xf>
    <xf numFmtId="0" fontId="38" fillId="10" borderId="48" xfId="25" applyFont="1" applyFill="1" applyBorder="1"/>
    <xf numFmtId="43" fontId="10" fillId="5" borderId="0" xfId="25" applyNumberFormat="1" applyFont="1" applyFill="1" applyBorder="1"/>
    <xf numFmtId="164" fontId="33" fillId="10" borderId="48" xfId="9" applyFont="1" applyFill="1" applyBorder="1"/>
    <xf numFmtId="166" fontId="33" fillId="10" borderId="48" xfId="1" applyFont="1" applyFill="1" applyBorder="1"/>
    <xf numFmtId="0" fontId="33" fillId="10" borderId="48" xfId="25" applyFont="1" applyFill="1" applyBorder="1" applyAlignment="1">
      <alignment horizontal="center"/>
    </xf>
    <xf numFmtId="0" fontId="20" fillId="0" borderId="0" xfId="0" applyFont="1" applyBorder="1" applyProtection="1"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166" fontId="19" fillId="0" borderId="0" xfId="1" applyFont="1" applyBorder="1" applyAlignment="1" applyProtection="1">
      <alignment horizontal="center" vertical="center"/>
      <protection hidden="1"/>
    </xf>
    <xf numFmtId="0" fontId="19" fillId="0" borderId="52" xfId="0" applyFont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/>
      <protection hidden="1"/>
    </xf>
    <xf numFmtId="0" fontId="20" fillId="0" borderId="52" xfId="0" applyFont="1" applyBorder="1" applyProtection="1">
      <protection hidden="1"/>
    </xf>
    <xf numFmtId="166" fontId="19" fillId="0" borderId="1" xfId="1" applyFont="1" applyBorder="1" applyAlignment="1" applyProtection="1">
      <alignment horizontal="center" vertical="center"/>
      <protection hidden="1"/>
    </xf>
    <xf numFmtId="166" fontId="19" fillId="6" borderId="2" xfId="1" applyFont="1" applyFill="1" applyBorder="1" applyAlignment="1" applyProtection="1">
      <alignment horizontal="center" vertical="center"/>
      <protection hidden="1"/>
    </xf>
    <xf numFmtId="0" fontId="19" fillId="5" borderId="48" xfId="0" applyFont="1" applyFill="1" applyBorder="1" applyAlignment="1" applyProtection="1">
      <alignment horizontal="center"/>
      <protection hidden="1"/>
    </xf>
    <xf numFmtId="166" fontId="10" fillId="0" borderId="0" xfId="1" applyProtection="1">
      <protection hidden="1"/>
    </xf>
    <xf numFmtId="166" fontId="0" fillId="0" borderId="0" xfId="1" applyFont="1" applyProtection="1">
      <protection hidden="1"/>
    </xf>
    <xf numFmtId="0" fontId="33" fillId="0" borderId="48" xfId="25" applyFont="1" applyBorder="1" applyAlignment="1">
      <alignment horizontal="center" vertical="center"/>
    </xf>
    <xf numFmtId="0" fontId="33" fillId="0" borderId="65" xfId="0" applyFont="1" applyBorder="1" applyAlignment="1" applyProtection="1">
      <alignment horizontal="left" vertical="center"/>
      <protection hidden="1"/>
    </xf>
    <xf numFmtId="0" fontId="33" fillId="0" borderId="10" xfId="0" applyFont="1" applyBorder="1" applyAlignment="1" applyProtection="1">
      <alignment horizontal="left" vertical="center"/>
      <protection hidden="1"/>
    </xf>
    <xf numFmtId="10" fontId="33" fillId="0" borderId="67" xfId="2" applyNumberFormat="1" applyFont="1" applyBorder="1" applyAlignment="1" applyProtection="1">
      <alignment vertical="center"/>
      <protection hidden="1"/>
    </xf>
    <xf numFmtId="10" fontId="33" fillId="0" borderId="68" xfId="2" applyNumberFormat="1" applyFont="1" applyBorder="1" applyAlignment="1" applyProtection="1">
      <alignment vertical="center"/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33" fillId="0" borderId="48" xfId="0" applyFont="1" applyBorder="1" applyAlignment="1" applyProtection="1">
      <protection hidden="1"/>
    </xf>
    <xf numFmtId="0" fontId="33" fillId="12" borderId="48" xfId="0" applyFont="1" applyFill="1" applyBorder="1" applyAlignment="1" applyProtection="1">
      <alignment horizontal="center"/>
      <protection hidden="1"/>
    </xf>
    <xf numFmtId="0" fontId="0" fillId="0" borderId="11" xfId="0" applyFont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33" fillId="6" borderId="48" xfId="0" applyFont="1" applyFill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alignment horizontal="center"/>
      <protection hidden="1"/>
    </xf>
    <xf numFmtId="0" fontId="33" fillId="0" borderId="11" xfId="0" applyFont="1" applyBorder="1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33" fillId="5" borderId="48" xfId="0" applyFont="1" applyFill="1" applyBorder="1" applyAlignment="1" applyProtection="1">
      <alignment horizontal="center"/>
      <protection hidden="1"/>
    </xf>
    <xf numFmtId="0" fontId="33" fillId="6" borderId="48" xfId="0" applyFont="1" applyFill="1" applyBorder="1" applyAlignment="1" applyProtection="1">
      <alignment horizontal="center" vertical="center" wrapText="1"/>
      <protection hidden="1"/>
    </xf>
    <xf numFmtId="0" fontId="33" fillId="0" borderId="48" xfId="25" applyFont="1" applyBorder="1" applyAlignment="1">
      <alignment horizontal="center" vertical="center"/>
    </xf>
    <xf numFmtId="0" fontId="0" fillId="5" borderId="48" xfId="0" applyFont="1" applyFill="1" applyBorder="1" applyAlignment="1" applyProtection="1">
      <alignment horizontal="center" vertical="center"/>
      <protection hidden="1"/>
    </xf>
    <xf numFmtId="166" fontId="0" fillId="5" borderId="48" xfId="1" applyFont="1" applyFill="1" applyBorder="1" applyAlignment="1" applyProtection="1">
      <alignment vertical="center"/>
      <protection hidden="1"/>
    </xf>
    <xf numFmtId="9" fontId="0" fillId="0" borderId="48" xfId="2" applyNumberFormat="1" applyFont="1" applyBorder="1" applyAlignment="1" applyProtection="1">
      <alignment horizontal="center"/>
      <protection hidden="1"/>
    </xf>
    <xf numFmtId="0" fontId="19" fillId="5" borderId="0" xfId="0" applyFont="1" applyFill="1" applyBorder="1" applyAlignment="1" applyProtection="1">
      <alignment horizontal="center"/>
      <protection hidden="1"/>
    </xf>
    <xf numFmtId="164" fontId="19" fillId="5" borderId="0" xfId="0" applyNumberFormat="1" applyFont="1" applyFill="1" applyBorder="1" applyAlignment="1" applyProtection="1">
      <alignment horizontal="center" vertical="center"/>
      <protection hidden="1"/>
    </xf>
    <xf numFmtId="0" fontId="45" fillId="5" borderId="0" xfId="25" applyFont="1" applyFill="1" applyBorder="1" applyAlignment="1">
      <alignment horizontal="center"/>
    </xf>
    <xf numFmtId="166" fontId="33" fillId="5" borderId="0" xfId="1" applyFont="1" applyFill="1" applyBorder="1"/>
    <xf numFmtId="0" fontId="10" fillId="5" borderId="0" xfId="25" applyFont="1" applyFill="1" applyBorder="1" applyAlignment="1">
      <alignment horizontal="center"/>
    </xf>
    <xf numFmtId="0" fontId="33" fillId="5" borderId="0" xfId="25" applyFont="1" applyFill="1" applyBorder="1"/>
    <xf numFmtId="0" fontId="33" fillId="5" borderId="0" xfId="25" applyFont="1" applyFill="1" applyBorder="1" applyAlignment="1">
      <alignment horizontal="center"/>
    </xf>
    <xf numFmtId="0" fontId="34" fillId="5" borderId="0" xfId="25" applyFont="1" applyFill="1" applyBorder="1"/>
    <xf numFmtId="43" fontId="10" fillId="5" borderId="0" xfId="6" applyFont="1" applyFill="1" applyBorder="1"/>
    <xf numFmtId="43" fontId="33" fillId="5" borderId="0" xfId="6" applyFont="1" applyFill="1" applyBorder="1"/>
    <xf numFmtId="164" fontId="10" fillId="5" borderId="0" xfId="9" applyFont="1" applyFill="1" applyBorder="1"/>
    <xf numFmtId="0" fontId="38" fillId="10" borderId="0" xfId="25" applyFont="1" applyFill="1" applyBorder="1"/>
    <xf numFmtId="0" fontId="33" fillId="5" borderId="0" xfId="9" applyNumberFormat="1" applyFont="1" applyFill="1" applyBorder="1" applyAlignment="1">
      <alignment horizontal="center"/>
    </xf>
    <xf numFmtId="164" fontId="33" fillId="10" borderId="0" xfId="9" applyFont="1" applyFill="1" applyBorder="1"/>
    <xf numFmtId="0" fontId="38" fillId="5" borderId="0" xfId="25" applyFont="1" applyFill="1" applyBorder="1"/>
    <xf numFmtId="164" fontId="33" fillId="5" borderId="0" xfId="9" applyFont="1" applyFill="1" applyBorder="1"/>
    <xf numFmtId="0" fontId="2" fillId="5" borderId="0" xfId="0" applyFont="1" applyFill="1" applyBorder="1" applyProtection="1">
      <protection hidden="1"/>
    </xf>
    <xf numFmtId="0" fontId="20" fillId="0" borderId="48" xfId="0" applyFont="1" applyBorder="1" applyAlignment="1" applyProtection="1">
      <alignment vertical="top" wrapText="1"/>
      <protection hidden="1"/>
    </xf>
    <xf numFmtId="9" fontId="10" fillId="0" borderId="48" xfId="2" applyBorder="1" applyAlignment="1" applyProtection="1">
      <alignment horizontal="center" vertical="center"/>
      <protection hidden="1"/>
    </xf>
    <xf numFmtId="0" fontId="34" fillId="0" borderId="3" xfId="37" applyFont="1" applyBorder="1" applyAlignment="1">
      <alignment horizontal="center" vertical="center" wrapText="1"/>
    </xf>
    <xf numFmtId="168" fontId="34" fillId="0" borderId="3" xfId="37" applyNumberFormat="1" applyFont="1" applyBorder="1" applyAlignment="1">
      <alignment horizontal="center" vertical="center" wrapText="1"/>
    </xf>
    <xf numFmtId="164" fontId="34" fillId="0" borderId="48" xfId="37" applyNumberFormat="1" applyFont="1" applyBorder="1" applyAlignment="1">
      <alignment horizontal="center" vertical="center" wrapText="1"/>
    </xf>
    <xf numFmtId="0" fontId="40" fillId="0" borderId="48" xfId="37" applyFont="1" applyFill="1" applyBorder="1" applyAlignment="1">
      <alignment horizontal="center" vertical="center" wrapText="1"/>
    </xf>
    <xf numFmtId="168" fontId="34" fillId="0" borderId="48" xfId="37" applyNumberFormat="1" applyFont="1" applyBorder="1" applyAlignment="1">
      <alignment horizontal="center" vertical="center" wrapText="1"/>
    </xf>
    <xf numFmtId="164" fontId="46" fillId="9" borderId="48" xfId="37" applyNumberFormat="1" applyFont="1" applyFill="1" applyBorder="1" applyAlignment="1">
      <alignment horizontal="center" vertical="center" wrapText="1"/>
    </xf>
    <xf numFmtId="0" fontId="33" fillId="0" borderId="8" xfId="17" applyFont="1" applyBorder="1" applyAlignment="1">
      <alignment horizontal="center" vertical="center"/>
    </xf>
    <xf numFmtId="164" fontId="46" fillId="9" borderId="3" xfId="37" applyNumberFormat="1" applyFont="1" applyFill="1" applyBorder="1" applyAlignment="1">
      <alignment horizontal="center" vertical="center" wrapText="1"/>
    </xf>
    <xf numFmtId="0" fontId="46" fillId="0" borderId="48" xfId="37" quotePrefix="1" applyFont="1" applyBorder="1" applyAlignment="1">
      <alignment horizontal="center" vertical="center" wrapText="1"/>
    </xf>
    <xf numFmtId="0" fontId="52" fillId="0" borderId="0" xfId="25" applyFont="1"/>
    <xf numFmtId="0" fontId="10" fillId="0" borderId="0" xfId="25"/>
    <xf numFmtId="0" fontId="53" fillId="0" borderId="0" xfId="25" applyFont="1" applyAlignment="1">
      <alignment horizontal="center"/>
    </xf>
    <xf numFmtId="0" fontId="53" fillId="0" borderId="0" xfId="25" applyFont="1" applyAlignment="1">
      <alignment wrapText="1"/>
    </xf>
    <xf numFmtId="0" fontId="47" fillId="0" borderId="0" xfId="25" applyFont="1" applyAlignment="1">
      <alignment wrapText="1"/>
    </xf>
    <xf numFmtId="0" fontId="56" fillId="0" borderId="0" xfId="25" applyFont="1" applyAlignment="1">
      <alignment vertical="top" wrapText="1"/>
    </xf>
    <xf numFmtId="4" fontId="0" fillId="0" borderId="0" xfId="0" applyNumberFormat="1"/>
    <xf numFmtId="0" fontId="33" fillId="5" borderId="48" xfId="25" applyFont="1" applyFill="1" applyBorder="1" applyAlignment="1">
      <alignment horizontal="center" vertical="center"/>
    </xf>
    <xf numFmtId="0" fontId="60" fillId="5" borderId="48" xfId="25" applyFont="1" applyFill="1" applyBorder="1" applyAlignment="1">
      <alignment horizontal="center" wrapText="1"/>
    </xf>
    <xf numFmtId="0" fontId="60" fillId="5" borderId="48" xfId="25" applyFont="1" applyFill="1" applyBorder="1" applyAlignment="1">
      <alignment vertical="center" wrapText="1"/>
    </xf>
    <xf numFmtId="0" fontId="33" fillId="5" borderId="48" xfId="25" applyFont="1" applyFill="1" applyBorder="1" applyAlignment="1">
      <alignment horizontal="left"/>
    </xf>
    <xf numFmtId="164" fontId="10" fillId="5" borderId="48" xfId="25" applyNumberFormat="1" applyFont="1" applyFill="1" applyBorder="1" applyAlignment="1">
      <alignment horizontal="center" vertical="center"/>
    </xf>
    <xf numFmtId="0" fontId="38" fillId="0" borderId="0" xfId="25" applyFont="1" applyFill="1" applyBorder="1"/>
    <xf numFmtId="164" fontId="33" fillId="0" borderId="0" xfId="9" applyFont="1" applyFill="1" applyBorder="1"/>
    <xf numFmtId="0" fontId="20" fillId="0" borderId="3" xfId="0" applyFont="1" applyBorder="1" applyAlignment="1" applyProtection="1">
      <alignment vertical="top" wrapText="1"/>
      <protection hidden="1"/>
    </xf>
    <xf numFmtId="0" fontId="20" fillId="0" borderId="3" xfId="0" applyFont="1" applyBorder="1" applyAlignment="1" applyProtection="1">
      <alignment horizontal="center" vertical="center"/>
      <protection hidden="1"/>
    </xf>
    <xf numFmtId="166" fontId="19" fillId="0" borderId="3" xfId="1" applyFont="1" applyBorder="1" applyAlignment="1" applyProtection="1">
      <alignment horizontal="center" vertical="center"/>
      <protection hidden="1"/>
    </xf>
    <xf numFmtId="0" fontId="20" fillId="5" borderId="3" xfId="0" applyFont="1" applyFill="1" applyBorder="1" applyAlignment="1" applyProtection="1">
      <alignment horizontal="center" vertical="center"/>
      <protection hidden="1"/>
    </xf>
    <xf numFmtId="166" fontId="18" fillId="5" borderId="3" xfId="1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Protection="1"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166" fontId="61" fillId="6" borderId="48" xfId="1" applyFont="1" applyFill="1" applyBorder="1" applyProtection="1">
      <protection hidden="1"/>
    </xf>
    <xf numFmtId="164" fontId="19" fillId="10" borderId="48" xfId="0" applyNumberFormat="1" applyFont="1" applyFill="1" applyBorder="1" applyAlignment="1" applyProtection="1">
      <alignment horizontal="center" vertical="center"/>
      <protection hidden="1"/>
    </xf>
    <xf numFmtId="166" fontId="19" fillId="10" borderId="2" xfId="1" applyFont="1" applyFill="1" applyBorder="1" applyAlignment="1" applyProtection="1">
      <alignment horizontal="center" vertical="center"/>
      <protection hidden="1"/>
    </xf>
    <xf numFmtId="166" fontId="20" fillId="0" borderId="48" xfId="1" applyFont="1" applyBorder="1" applyAlignment="1" applyProtection="1">
      <alignment horizontal="center" vertical="center"/>
      <protection hidden="1"/>
    </xf>
    <xf numFmtId="43" fontId="2" fillId="0" borderId="0" xfId="0" applyNumberFormat="1" applyFont="1" applyAlignment="1" applyProtection="1">
      <alignment horizontal="center" vertical="center"/>
      <protection hidden="1"/>
    </xf>
    <xf numFmtId="0" fontId="35" fillId="5" borderId="4" xfId="0" applyFont="1" applyFill="1" applyBorder="1" applyAlignment="1" applyProtection="1">
      <protection hidden="1"/>
    </xf>
    <xf numFmtId="2" fontId="35" fillId="0" borderId="48" xfId="0" applyNumberFormat="1" applyFont="1" applyBorder="1" applyProtection="1">
      <protection hidden="1"/>
    </xf>
    <xf numFmtId="0" fontId="35" fillId="5" borderId="8" xfId="0" applyFont="1" applyFill="1" applyBorder="1" applyAlignment="1" applyProtection="1">
      <protection hidden="1"/>
    </xf>
    <xf numFmtId="166" fontId="17" fillId="0" borderId="0" xfId="0" applyNumberFormat="1" applyFont="1" applyBorder="1" applyProtection="1">
      <protection hidden="1"/>
    </xf>
    <xf numFmtId="177" fontId="0" fillId="0" borderId="48" xfId="0" applyNumberFormat="1" applyFont="1" applyFill="1" applyBorder="1" applyProtection="1">
      <protection hidden="1"/>
    </xf>
    <xf numFmtId="177" fontId="0" fillId="0" borderId="48" xfId="0" applyNumberFormat="1" applyFont="1" applyBorder="1" applyProtection="1">
      <protection hidden="1"/>
    </xf>
    <xf numFmtId="0" fontId="18" fillId="0" borderId="0" xfId="0" applyFont="1" applyBorder="1" applyProtection="1">
      <protection hidden="1"/>
    </xf>
    <xf numFmtId="166" fontId="33" fillId="0" borderId="48" xfId="1" applyFont="1" applyBorder="1" applyProtection="1">
      <protection hidden="1"/>
    </xf>
    <xf numFmtId="170" fontId="0" fillId="0" borderId="48" xfId="3" applyNumberFormat="1" applyFont="1" applyBorder="1" applyProtection="1">
      <protection hidden="1"/>
    </xf>
    <xf numFmtId="43" fontId="17" fillId="0" borderId="0" xfId="0" applyNumberFormat="1" applyFont="1" applyAlignment="1">
      <alignment vertical="center"/>
    </xf>
    <xf numFmtId="43" fontId="18" fillId="10" borderId="53" xfId="0" applyNumberFormat="1" applyFont="1" applyFill="1" applyBorder="1" applyAlignment="1">
      <alignment vertical="center"/>
    </xf>
    <xf numFmtId="4" fontId="2" fillId="0" borderId="0" xfId="0" applyNumberFormat="1" applyFont="1" applyAlignment="1" applyProtection="1">
      <alignment horizontal="center" vertical="center"/>
      <protection hidden="1"/>
    </xf>
    <xf numFmtId="166" fontId="17" fillId="0" borderId="0" xfId="0" applyNumberFormat="1" applyFont="1" applyProtection="1">
      <protection hidden="1"/>
    </xf>
    <xf numFmtId="43" fontId="19" fillId="10" borderId="48" xfId="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/>
    <xf numFmtId="0" fontId="0" fillId="0" borderId="48" xfId="0" applyBorder="1"/>
    <xf numFmtId="164" fontId="0" fillId="0" borderId="48" xfId="0" applyNumberFormat="1" applyBorder="1"/>
    <xf numFmtId="43" fontId="0" fillId="0" borderId="48" xfId="3" applyFont="1" applyBorder="1"/>
    <xf numFmtId="164" fontId="2" fillId="0" borderId="0" xfId="0" applyNumberFormat="1" applyFont="1" applyAlignment="1" applyProtection="1">
      <alignment horizontal="center" vertical="center"/>
      <protection hidden="1"/>
    </xf>
    <xf numFmtId="43" fontId="2" fillId="0" borderId="0" xfId="3" applyFont="1" applyAlignment="1" applyProtection="1">
      <alignment horizontal="center" vertical="center"/>
      <protection hidden="1"/>
    </xf>
    <xf numFmtId="164" fontId="2" fillId="0" borderId="0" xfId="0" applyNumberFormat="1" applyFont="1" applyProtection="1">
      <protection hidden="1"/>
    </xf>
    <xf numFmtId="43" fontId="17" fillId="0" borderId="0" xfId="3" applyFont="1" applyBorder="1" applyProtection="1">
      <protection hidden="1"/>
    </xf>
    <xf numFmtId="164" fontId="62" fillId="0" borderId="0" xfId="0" applyNumberFormat="1" applyFont="1" applyProtection="1">
      <protection hidden="1"/>
    </xf>
    <xf numFmtId="164" fontId="17" fillId="0" borderId="0" xfId="0" applyNumberFormat="1" applyFont="1" applyAlignment="1">
      <alignment vertical="center"/>
    </xf>
    <xf numFmtId="178" fontId="10" fillId="5" borderId="48" xfId="25" applyNumberFormat="1" applyFont="1" applyFill="1" applyBorder="1" applyAlignment="1">
      <alignment horizontal="center" vertical="center"/>
    </xf>
    <xf numFmtId="164" fontId="0" fillId="0" borderId="0" xfId="0" applyNumberFormat="1"/>
    <xf numFmtId="173" fontId="0" fillId="0" borderId="48" xfId="0" applyNumberFormat="1" applyFont="1" applyBorder="1" applyAlignment="1" applyProtection="1">
      <alignment horizontal="center"/>
      <protection hidden="1"/>
    </xf>
    <xf numFmtId="164" fontId="17" fillId="0" borderId="0" xfId="0" applyNumberFormat="1" applyFont="1" applyBorder="1" applyProtection="1">
      <protection hidden="1"/>
    </xf>
    <xf numFmtId="0" fontId="33" fillId="6" borderId="48" xfId="0" applyFont="1" applyFill="1" applyBorder="1" applyAlignment="1" applyProtection="1">
      <alignment horizontal="center"/>
      <protection hidden="1"/>
    </xf>
    <xf numFmtId="0" fontId="33" fillId="6" borderId="48" xfId="0" applyFont="1" applyFill="1" applyBorder="1" applyAlignment="1" applyProtection="1">
      <alignment horizontal="center" vertical="center"/>
      <protection hidden="1"/>
    </xf>
    <xf numFmtId="0" fontId="0" fillId="5" borderId="48" xfId="0" applyFont="1" applyFill="1" applyBorder="1" applyAlignment="1" applyProtection="1">
      <alignment horizontal="center" vertical="center"/>
      <protection hidden="1"/>
    </xf>
    <xf numFmtId="166" fontId="0" fillId="5" borderId="48" xfId="1" applyFont="1" applyFill="1" applyBorder="1" applyAlignment="1" applyProtection="1">
      <alignment vertical="center"/>
      <protection hidden="1"/>
    </xf>
    <xf numFmtId="179" fontId="0" fillId="0" borderId="48" xfId="0" applyNumberFormat="1" applyFont="1" applyBorder="1" applyAlignment="1" applyProtection="1">
      <alignment horizontal="center"/>
      <protection hidden="1"/>
    </xf>
    <xf numFmtId="43" fontId="0" fillId="0" borderId="48" xfId="0" applyNumberFormat="1" applyBorder="1"/>
    <xf numFmtId="43" fontId="0" fillId="0" borderId="0" xfId="0" applyNumberFormat="1"/>
    <xf numFmtId="166" fontId="10" fillId="0" borderId="48" xfId="1" applyFont="1" applyBorder="1" applyAlignment="1" applyProtection="1">
      <alignment horizontal="center"/>
      <protection hidden="1"/>
    </xf>
    <xf numFmtId="166" fontId="33" fillId="0" borderId="48" xfId="1" applyFont="1" applyBorder="1" applyAlignment="1" applyProtection="1">
      <alignment horizontal="center"/>
      <protection hidden="1"/>
    </xf>
    <xf numFmtId="10" fontId="10" fillId="0" borderId="48" xfId="2" applyNumberFormat="1" applyFont="1" applyFill="1" applyBorder="1" applyAlignment="1" applyProtection="1">
      <alignment horizontal="center"/>
      <protection hidden="1"/>
    </xf>
    <xf numFmtId="166" fontId="17" fillId="0" borderId="48" xfId="1" applyFont="1" applyBorder="1" applyAlignment="1" applyProtection="1">
      <alignment horizontal="center" vertical="center"/>
      <protection hidden="1"/>
    </xf>
    <xf numFmtId="166" fontId="17" fillId="5" borderId="48" xfId="1" applyFont="1" applyFill="1" applyBorder="1" applyAlignment="1" applyProtection="1">
      <alignment horizontal="center" vertical="center"/>
      <protection hidden="1"/>
    </xf>
    <xf numFmtId="166" fontId="10" fillId="5" borderId="48" xfId="1" applyFont="1" applyFill="1" applyBorder="1" applyProtection="1">
      <protection hidden="1"/>
    </xf>
    <xf numFmtId="166" fontId="10" fillId="5" borderId="48" xfId="1" applyFont="1" applyFill="1" applyBorder="1" applyAlignment="1" applyProtection="1">
      <protection hidden="1"/>
    </xf>
    <xf numFmtId="166" fontId="10" fillId="5" borderId="48" xfId="1" applyFont="1" applyFill="1" applyBorder="1" applyAlignment="1" applyProtection="1">
      <alignment vertical="center"/>
      <protection hidden="1"/>
    </xf>
    <xf numFmtId="43" fontId="0" fillId="0" borderId="48" xfId="1" applyNumberFormat="1" applyFont="1" applyBorder="1" applyProtection="1">
      <protection hidden="1"/>
    </xf>
    <xf numFmtId="166" fontId="33" fillId="9" borderId="48" xfId="1" applyFont="1" applyFill="1" applyBorder="1" applyAlignment="1" applyProtection="1">
      <protection hidden="1"/>
    </xf>
    <xf numFmtId="0" fontId="18" fillId="6" borderId="38" xfId="0" applyFont="1" applyFill="1" applyBorder="1" applyAlignment="1" applyProtection="1">
      <alignment horizontal="center" vertical="center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6" borderId="46" xfId="0" applyFont="1" applyFill="1" applyBorder="1" applyAlignment="1" applyProtection="1">
      <alignment horizontal="center" vertical="center"/>
      <protection hidden="1"/>
    </xf>
    <xf numFmtId="0" fontId="18" fillId="0" borderId="38" xfId="0" applyFont="1" applyBorder="1" applyAlignment="1" applyProtection="1">
      <alignment horizontal="center"/>
      <protection hidden="1"/>
    </xf>
    <xf numFmtId="0" fontId="18" fillId="0" borderId="0" xfId="0" applyFont="1" applyBorder="1" applyAlignment="1" applyProtection="1">
      <alignment horizontal="center"/>
      <protection hidden="1"/>
    </xf>
    <xf numFmtId="0" fontId="18" fillId="0" borderId="46" xfId="0" applyFont="1" applyBorder="1" applyAlignment="1" applyProtection="1">
      <alignment horizontal="center"/>
      <protection hidden="1"/>
    </xf>
    <xf numFmtId="0" fontId="17" fillId="0" borderId="20" xfId="0" applyFont="1" applyBorder="1" applyAlignment="1" applyProtection="1">
      <protection hidden="1"/>
    </xf>
    <xf numFmtId="0" fontId="17" fillId="0" borderId="22" xfId="0" applyFont="1" applyBorder="1" applyAlignment="1" applyProtection="1">
      <protection hidden="1"/>
    </xf>
    <xf numFmtId="0" fontId="18" fillId="6" borderId="20" xfId="0" applyFont="1" applyFill="1" applyBorder="1" applyAlignment="1" applyProtection="1">
      <alignment horizontal="center"/>
      <protection hidden="1"/>
    </xf>
    <xf numFmtId="0" fontId="18" fillId="6" borderId="22" xfId="0" applyFont="1" applyFill="1" applyBorder="1" applyAlignment="1" applyProtection="1">
      <alignment horizontal="center"/>
      <protection hidden="1"/>
    </xf>
    <xf numFmtId="0" fontId="18" fillId="6" borderId="21" xfId="0" applyFont="1" applyFill="1" applyBorder="1" applyAlignment="1" applyProtection="1">
      <alignment horizontal="center"/>
      <protection hidden="1"/>
    </xf>
    <xf numFmtId="0" fontId="17" fillId="0" borderId="21" xfId="0" applyFont="1" applyBorder="1" applyAlignment="1" applyProtection="1">
      <protection hidden="1"/>
    </xf>
    <xf numFmtId="0" fontId="18" fillId="6" borderId="31" xfId="0" applyFont="1" applyFill="1" applyBorder="1" applyAlignment="1" applyProtection="1">
      <alignment horizontal="center" vertical="center"/>
      <protection hidden="1"/>
    </xf>
    <xf numFmtId="0" fontId="18" fillId="6" borderId="29" xfId="0" applyFont="1" applyFill="1" applyBorder="1" applyAlignment="1" applyProtection="1">
      <alignment horizontal="center" vertical="center"/>
      <protection hidden="1"/>
    </xf>
    <xf numFmtId="0" fontId="18" fillId="6" borderId="32" xfId="0" applyFont="1" applyFill="1" applyBorder="1" applyAlignment="1" applyProtection="1">
      <alignment horizontal="center" vertical="center"/>
      <protection hidden="1"/>
    </xf>
    <xf numFmtId="0" fontId="18" fillId="0" borderId="36" xfId="0" applyFont="1" applyBorder="1" applyAlignment="1" applyProtection="1">
      <alignment horizontal="left"/>
      <protection hidden="1"/>
    </xf>
    <xf numFmtId="0" fontId="18" fillId="0" borderId="37" xfId="0" applyFont="1" applyBorder="1" applyAlignment="1" applyProtection="1">
      <alignment horizontal="left"/>
      <protection hidden="1"/>
    </xf>
    <xf numFmtId="0" fontId="17" fillId="0" borderId="0" xfId="0" applyFont="1" applyBorder="1" applyAlignment="1" applyProtection="1">
      <alignment horizontal="left"/>
      <protection hidden="1"/>
    </xf>
    <xf numFmtId="0" fontId="18" fillId="0" borderId="29" xfId="0" applyFont="1" applyBorder="1" applyAlignment="1" applyProtection="1">
      <alignment horizontal="left"/>
      <protection hidden="1"/>
    </xf>
    <xf numFmtId="0" fontId="18" fillId="0" borderId="32" xfId="0" applyFont="1" applyBorder="1" applyAlignment="1" applyProtection="1">
      <alignment horizontal="left"/>
      <protection hidden="1"/>
    </xf>
    <xf numFmtId="10" fontId="18" fillId="0" borderId="31" xfId="2" applyNumberFormat="1" applyFont="1" applyBorder="1" applyAlignment="1" applyProtection="1">
      <protection hidden="1"/>
    </xf>
    <xf numFmtId="10" fontId="18" fillId="0" borderId="32" xfId="2" applyNumberFormat="1" applyFont="1" applyBorder="1" applyAlignment="1" applyProtection="1">
      <protection hidden="1"/>
    </xf>
    <xf numFmtId="10" fontId="18" fillId="0" borderId="35" xfId="2" applyNumberFormat="1" applyFont="1" applyBorder="1" applyAlignment="1" applyProtection="1">
      <protection hidden="1"/>
    </xf>
    <xf numFmtId="10" fontId="18" fillId="0" borderId="37" xfId="2" applyNumberFormat="1" applyFont="1" applyBorder="1" applyAlignment="1" applyProtection="1">
      <protection hidden="1"/>
    </xf>
    <xf numFmtId="0" fontId="18" fillId="0" borderId="36" xfId="0" applyNumberFormat="1" applyFont="1" applyBorder="1" applyAlignment="1" applyProtection="1">
      <alignment horizontal="left"/>
      <protection hidden="1"/>
    </xf>
    <xf numFmtId="0" fontId="18" fillId="9" borderId="19" xfId="0" applyFont="1" applyFill="1" applyBorder="1" applyAlignment="1" applyProtection="1">
      <protection hidden="1"/>
    </xf>
    <xf numFmtId="0" fontId="17" fillId="0" borderId="19" xfId="0" applyFont="1" applyBorder="1" applyAlignment="1" applyProtection="1">
      <protection hidden="1"/>
    </xf>
    <xf numFmtId="0" fontId="18" fillId="0" borderId="20" xfId="0" applyFont="1" applyBorder="1" applyAlignment="1" applyProtection="1">
      <alignment horizontal="center"/>
      <protection hidden="1"/>
    </xf>
    <xf numFmtId="0" fontId="18" fillId="0" borderId="22" xfId="0" applyFont="1" applyBorder="1" applyAlignment="1" applyProtection="1">
      <alignment horizontal="center"/>
      <protection hidden="1"/>
    </xf>
    <xf numFmtId="0" fontId="18" fillId="0" borderId="21" xfId="0" applyFont="1" applyBorder="1" applyAlignment="1" applyProtection="1">
      <alignment horizontal="center"/>
      <protection hidden="1"/>
    </xf>
    <xf numFmtId="0" fontId="17" fillId="0" borderId="35" xfId="0" applyFont="1" applyBorder="1" applyAlignment="1" applyProtection="1">
      <protection hidden="1"/>
    </xf>
    <xf numFmtId="0" fontId="17" fillId="0" borderId="36" xfId="0" applyFont="1" applyBorder="1" applyAlignment="1" applyProtection="1">
      <protection hidden="1"/>
    </xf>
    <xf numFmtId="0" fontId="17" fillId="0" borderId="37" xfId="0" applyFont="1" applyBorder="1" applyAlignment="1" applyProtection="1">
      <protection hidden="1"/>
    </xf>
    <xf numFmtId="0" fontId="18" fillId="3" borderId="20" xfId="0" applyFont="1" applyFill="1" applyBorder="1" applyAlignment="1" applyProtection="1">
      <alignment horizontal="center"/>
      <protection hidden="1"/>
    </xf>
    <xf numFmtId="0" fontId="18" fillId="3" borderId="22" xfId="0" applyFont="1" applyFill="1" applyBorder="1" applyAlignment="1" applyProtection="1">
      <alignment horizontal="center"/>
      <protection hidden="1"/>
    </xf>
    <xf numFmtId="0" fontId="18" fillId="3" borderId="21" xfId="0" applyFont="1" applyFill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protection hidden="1"/>
    </xf>
    <xf numFmtId="0" fontId="17" fillId="0" borderId="20" xfId="0" applyFont="1" applyBorder="1" applyAlignment="1" applyProtection="1">
      <alignment horizontal="left"/>
      <protection hidden="1"/>
    </xf>
    <xf numFmtId="0" fontId="17" fillId="0" borderId="22" xfId="0" applyFont="1" applyBorder="1" applyAlignment="1" applyProtection="1">
      <alignment horizontal="left"/>
      <protection hidden="1"/>
    </xf>
    <xf numFmtId="0" fontId="17" fillId="0" borderId="21" xfId="0" applyFont="1" applyBorder="1" applyAlignment="1" applyProtection="1">
      <alignment horizontal="left"/>
      <protection hidden="1"/>
    </xf>
    <xf numFmtId="0" fontId="18" fillId="0" borderId="29" xfId="0" applyFont="1" applyBorder="1" applyAlignment="1" applyProtection="1">
      <alignment horizontal="center"/>
      <protection hidden="1"/>
    </xf>
    <xf numFmtId="0" fontId="18" fillId="0" borderId="33" xfId="0" applyFont="1" applyBorder="1" applyAlignment="1" applyProtection="1">
      <alignment horizontal="center"/>
      <protection hidden="1"/>
    </xf>
    <xf numFmtId="0" fontId="18" fillId="9" borderId="20" xfId="0" applyFont="1" applyFill="1" applyBorder="1" applyAlignment="1" applyProtection="1">
      <alignment horizontal="center"/>
      <protection hidden="1"/>
    </xf>
    <xf numFmtId="0" fontId="18" fillId="9" borderId="22" xfId="0" applyFont="1" applyFill="1" applyBorder="1" applyAlignment="1" applyProtection="1">
      <alignment horizontal="center"/>
      <protection hidden="1"/>
    </xf>
    <xf numFmtId="0" fontId="18" fillId="9" borderId="21" xfId="0" applyFont="1" applyFill="1" applyBorder="1" applyAlignment="1" applyProtection="1">
      <alignment horizontal="center"/>
      <protection hidden="1"/>
    </xf>
    <xf numFmtId="0" fontId="17" fillId="0" borderId="22" xfId="0" applyFont="1" applyBorder="1" applyAlignment="1" applyProtection="1">
      <alignment horizontal="center"/>
      <protection hidden="1"/>
    </xf>
    <xf numFmtId="0" fontId="18" fillId="6" borderId="31" xfId="0" applyFont="1" applyFill="1" applyBorder="1" applyAlignment="1" applyProtection="1">
      <alignment horizontal="center"/>
      <protection hidden="1"/>
    </xf>
    <xf numFmtId="0" fontId="18" fillId="6" borderId="29" xfId="0" applyFont="1" applyFill="1" applyBorder="1" applyAlignment="1" applyProtection="1">
      <alignment horizontal="center"/>
      <protection hidden="1"/>
    </xf>
    <xf numFmtId="0" fontId="18" fillId="6" borderId="32" xfId="0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7" fillId="0" borderId="20" xfId="0" applyFont="1" applyFill="1" applyBorder="1" applyAlignment="1" applyProtection="1">
      <protection hidden="1"/>
    </xf>
    <xf numFmtId="0" fontId="17" fillId="0" borderId="22" xfId="0" applyFont="1" applyFill="1" applyBorder="1" applyAlignment="1" applyProtection="1">
      <protection hidden="1"/>
    </xf>
    <xf numFmtId="0" fontId="17" fillId="0" borderId="21" xfId="0" applyFont="1" applyFill="1" applyBorder="1" applyAlignment="1" applyProtection="1">
      <protection hidden="1"/>
    </xf>
    <xf numFmtId="0" fontId="18" fillId="0" borderId="11" xfId="0" applyFont="1" applyBorder="1" applyAlignment="1" applyProtection="1">
      <alignment horizontal="center"/>
      <protection hidden="1"/>
    </xf>
    <xf numFmtId="0" fontId="18" fillId="3" borderId="0" xfId="0" applyFont="1" applyFill="1" applyBorder="1" applyAlignment="1" applyProtection="1">
      <alignment horizontal="center"/>
      <protection hidden="1"/>
    </xf>
    <xf numFmtId="0" fontId="18" fillId="3" borderId="24" xfId="0" applyFont="1" applyFill="1" applyBorder="1" applyAlignment="1" applyProtection="1">
      <alignment horizontal="center"/>
      <protection hidden="1"/>
    </xf>
    <xf numFmtId="0" fontId="18" fillId="0" borderId="41" xfId="0" applyFont="1" applyBorder="1" applyAlignment="1" applyProtection="1">
      <alignment horizontal="center"/>
      <protection hidden="1"/>
    </xf>
    <xf numFmtId="0" fontId="18" fillId="0" borderId="42" xfId="0" applyFont="1" applyBorder="1" applyAlignment="1" applyProtection="1">
      <alignment horizontal="center"/>
      <protection hidden="1"/>
    </xf>
    <xf numFmtId="0" fontId="18" fillId="0" borderId="44" xfId="0" applyFont="1" applyBorder="1" applyAlignment="1" applyProtection="1">
      <alignment horizontal="center"/>
      <protection hidden="1"/>
    </xf>
    <xf numFmtId="10" fontId="17" fillId="5" borderId="19" xfId="2" applyNumberFormat="1" applyFont="1" applyFill="1" applyBorder="1" applyAlignment="1" applyProtection="1">
      <protection hidden="1"/>
    </xf>
    <xf numFmtId="10" fontId="17" fillId="5" borderId="19" xfId="2" applyNumberFormat="1" applyFont="1" applyFill="1" applyBorder="1" applyAlignment="1" applyProtection="1">
      <alignment vertical="center" wrapText="1"/>
      <protection hidden="1"/>
    </xf>
    <xf numFmtId="0" fontId="17" fillId="5" borderId="20" xfId="0" applyFont="1" applyFill="1" applyBorder="1" applyAlignment="1" applyProtection="1">
      <alignment horizontal="left"/>
      <protection hidden="1"/>
    </xf>
    <xf numFmtId="0" fontId="17" fillId="5" borderId="22" xfId="0" applyFont="1" applyFill="1" applyBorder="1" applyAlignment="1" applyProtection="1">
      <alignment horizontal="left"/>
      <protection hidden="1"/>
    </xf>
    <xf numFmtId="0" fontId="17" fillId="5" borderId="21" xfId="0" applyFont="1" applyFill="1" applyBorder="1" applyAlignment="1" applyProtection="1">
      <alignment horizontal="left"/>
      <protection hidden="1"/>
    </xf>
    <xf numFmtId="0" fontId="18" fillId="5" borderId="20" xfId="0" applyFont="1" applyFill="1" applyBorder="1" applyAlignment="1" applyProtection="1">
      <alignment horizontal="center"/>
      <protection hidden="1"/>
    </xf>
    <xf numFmtId="0" fontId="18" fillId="5" borderId="22" xfId="0" applyFont="1" applyFill="1" applyBorder="1" applyAlignment="1" applyProtection="1">
      <alignment horizontal="center"/>
      <protection hidden="1"/>
    </xf>
    <xf numFmtId="0" fontId="18" fillId="5" borderId="21" xfId="0" applyFont="1" applyFill="1" applyBorder="1" applyAlignment="1" applyProtection="1">
      <alignment horizontal="center"/>
      <protection hidden="1"/>
    </xf>
    <xf numFmtId="0" fontId="18" fillId="4" borderId="0" xfId="0" applyFont="1" applyFill="1" applyBorder="1" applyAlignment="1" applyProtection="1">
      <alignment horizontal="center"/>
      <protection hidden="1"/>
    </xf>
    <xf numFmtId="0" fontId="18" fillId="6" borderId="28" xfId="0" applyFont="1" applyFill="1" applyBorder="1" applyAlignment="1" applyProtection="1">
      <alignment horizontal="center"/>
      <protection hidden="1"/>
    </xf>
    <xf numFmtId="0" fontId="17" fillId="5" borderId="30" xfId="0" applyFont="1" applyFill="1" applyBorder="1" applyAlignment="1" applyProtection="1">
      <alignment horizontal="center" vertical="center"/>
      <protection hidden="1"/>
    </xf>
    <xf numFmtId="0" fontId="17" fillId="5" borderId="34" xfId="0" applyFont="1" applyFill="1" applyBorder="1" applyAlignment="1" applyProtection="1">
      <alignment horizontal="center" vertical="center"/>
      <protection hidden="1"/>
    </xf>
    <xf numFmtId="10" fontId="18" fillId="5" borderId="31" xfId="2" applyNumberFormat="1" applyFont="1" applyFill="1" applyBorder="1" applyAlignment="1" applyProtection="1">
      <alignment vertical="center" wrapText="1"/>
      <protection hidden="1"/>
    </xf>
    <xf numFmtId="10" fontId="18" fillId="5" borderId="29" xfId="2" applyNumberFormat="1" applyFont="1" applyFill="1" applyBorder="1" applyAlignment="1" applyProtection="1">
      <alignment vertical="center" wrapText="1"/>
      <protection hidden="1"/>
    </xf>
    <xf numFmtId="10" fontId="18" fillId="5" borderId="38" xfId="2" applyNumberFormat="1" applyFont="1" applyFill="1" applyBorder="1" applyAlignment="1" applyProtection="1">
      <alignment vertical="center" wrapText="1"/>
      <protection hidden="1"/>
    </xf>
    <xf numFmtId="10" fontId="18" fillId="5" borderId="0" xfId="2" applyNumberFormat="1" applyFont="1" applyFill="1" applyBorder="1" applyAlignment="1" applyProtection="1">
      <alignment vertical="center" wrapText="1"/>
      <protection hidden="1"/>
    </xf>
    <xf numFmtId="166" fontId="17" fillId="5" borderId="30" xfId="1" applyFont="1" applyFill="1" applyBorder="1" applyAlignment="1" applyProtection="1">
      <alignment vertical="center" wrapText="1"/>
      <protection hidden="1"/>
    </xf>
    <xf numFmtId="166" fontId="17" fillId="5" borderId="34" xfId="1" applyFont="1" applyFill="1" applyBorder="1" applyAlignment="1" applyProtection="1">
      <alignment vertical="center" wrapText="1"/>
      <protection hidden="1"/>
    </xf>
    <xf numFmtId="166" fontId="10" fillId="5" borderId="30" xfId="1" applyFill="1" applyBorder="1" applyAlignment="1" applyProtection="1">
      <alignment vertical="center"/>
      <protection hidden="1"/>
    </xf>
    <xf numFmtId="166" fontId="10" fillId="5" borderId="34" xfId="1" applyFill="1" applyBorder="1" applyAlignment="1" applyProtection="1">
      <alignment vertical="center"/>
      <protection hidden="1"/>
    </xf>
    <xf numFmtId="0" fontId="18" fillId="0" borderId="20" xfId="0" applyFont="1" applyBorder="1" applyAlignment="1" applyProtection="1">
      <alignment horizontal="left" vertical="center" wrapText="1"/>
      <protection hidden="1"/>
    </xf>
    <xf numFmtId="0" fontId="18" fillId="0" borderId="22" xfId="0" applyFont="1" applyBorder="1" applyAlignment="1" applyProtection="1">
      <alignment horizontal="left" vertical="center" wrapText="1"/>
      <protection hidden="1"/>
    </xf>
    <xf numFmtId="0" fontId="18" fillId="0" borderId="21" xfId="0" applyFont="1" applyBorder="1" applyAlignment="1" applyProtection="1">
      <alignment horizontal="left" vertical="center" wrapText="1"/>
      <protection hidden="1"/>
    </xf>
    <xf numFmtId="0" fontId="18" fillId="4" borderId="13" xfId="0" applyFont="1" applyFill="1" applyBorder="1" applyAlignment="1" applyProtection="1">
      <alignment horizontal="center"/>
      <protection hidden="1"/>
    </xf>
    <xf numFmtId="0" fontId="18" fillId="4" borderId="11" xfId="0" applyFont="1" applyFill="1" applyBorder="1" applyAlignment="1" applyProtection="1">
      <alignment horizontal="center"/>
      <protection hidden="1"/>
    </xf>
    <xf numFmtId="0" fontId="18" fillId="9" borderId="29" xfId="0" applyFont="1" applyFill="1" applyBorder="1" applyAlignment="1" applyProtection="1">
      <alignment horizontal="center"/>
      <protection hidden="1"/>
    </xf>
    <xf numFmtId="0" fontId="18" fillId="9" borderId="32" xfId="0" applyFont="1" applyFill="1" applyBorder="1" applyAlignment="1" applyProtection="1">
      <alignment horizontal="center"/>
      <protection hidden="1"/>
    </xf>
    <xf numFmtId="0" fontId="18" fillId="0" borderId="31" xfId="0" applyFont="1" applyBorder="1" applyAlignment="1" applyProtection="1">
      <alignment horizontal="center"/>
      <protection hidden="1"/>
    </xf>
    <xf numFmtId="0" fontId="18" fillId="0" borderId="32" xfId="0" applyFont="1" applyBorder="1" applyAlignment="1" applyProtection="1">
      <alignment horizontal="center"/>
      <protection hidden="1"/>
    </xf>
    <xf numFmtId="0" fontId="18" fillId="0" borderId="20" xfId="0" applyFont="1" applyFill="1" applyBorder="1" applyAlignment="1" applyProtection="1">
      <alignment horizontal="left" vertical="center" wrapText="1"/>
      <protection hidden="1"/>
    </xf>
    <xf numFmtId="0" fontId="18" fillId="0" borderId="22" xfId="0" applyFont="1" applyFill="1" applyBorder="1" applyAlignment="1" applyProtection="1">
      <alignment horizontal="left" vertical="center" wrapText="1"/>
      <protection hidden="1"/>
    </xf>
    <xf numFmtId="0" fontId="18" fillId="0" borderId="21" xfId="0" applyFont="1" applyFill="1" applyBorder="1" applyAlignment="1" applyProtection="1">
      <alignment horizontal="left" vertical="center" wrapText="1"/>
      <protection hidden="1"/>
    </xf>
    <xf numFmtId="0" fontId="18" fillId="9" borderId="31" xfId="0" applyFont="1" applyFill="1" applyBorder="1" applyAlignment="1" applyProtection="1">
      <alignment horizontal="center"/>
      <protection hidden="1"/>
    </xf>
    <xf numFmtId="0" fontId="17" fillId="0" borderId="20" xfId="0" applyFont="1" applyBorder="1" applyAlignment="1" applyProtection="1">
      <alignment horizontal="center"/>
      <protection hidden="1"/>
    </xf>
    <xf numFmtId="0" fontId="17" fillId="0" borderId="21" xfId="0" applyFont="1" applyBorder="1" applyAlignment="1" applyProtection="1">
      <alignment horizontal="center"/>
      <protection hidden="1"/>
    </xf>
    <xf numFmtId="0" fontId="17" fillId="0" borderId="19" xfId="0" applyFont="1" applyBorder="1" applyAlignment="1" applyProtection="1">
      <alignment horizontal="left"/>
      <protection hidden="1"/>
    </xf>
    <xf numFmtId="0" fontId="18" fillId="3" borderId="28" xfId="0" applyFont="1" applyFill="1" applyBorder="1" applyAlignment="1" applyProtection="1">
      <alignment horizontal="center"/>
      <protection hidden="1"/>
    </xf>
    <xf numFmtId="0" fontId="18" fillId="0" borderId="12" xfId="0" applyFont="1" applyBorder="1" applyAlignment="1" applyProtection="1">
      <alignment horizontal="center"/>
      <protection hidden="1"/>
    </xf>
    <xf numFmtId="0" fontId="17" fillId="0" borderId="25" xfId="0" applyFont="1" applyBorder="1" applyAlignment="1" applyProtection="1">
      <alignment horizontal="left"/>
      <protection hidden="1"/>
    </xf>
    <xf numFmtId="0" fontId="17" fillId="0" borderId="4" xfId="0" applyFont="1" applyBorder="1" applyAlignment="1" applyProtection="1">
      <alignment horizontal="left"/>
      <protection hidden="1"/>
    </xf>
    <xf numFmtId="0" fontId="17" fillId="0" borderId="8" xfId="0" applyFont="1" applyBorder="1" applyAlignment="1" applyProtection="1">
      <alignment horizontal="left"/>
      <protection hidden="1"/>
    </xf>
    <xf numFmtId="0" fontId="17" fillId="0" borderId="26" xfId="0" applyFont="1" applyBorder="1" applyAlignment="1" applyProtection="1">
      <alignment horizontal="left"/>
      <protection hidden="1"/>
    </xf>
    <xf numFmtId="0" fontId="17" fillId="0" borderId="17" xfId="0" applyFont="1" applyBorder="1" applyAlignment="1" applyProtection="1">
      <alignment horizontal="left"/>
      <protection hidden="1"/>
    </xf>
    <xf numFmtId="0" fontId="17" fillId="0" borderId="18" xfId="0" applyFont="1" applyBorder="1" applyAlignment="1" applyProtection="1">
      <alignment horizontal="left"/>
      <protection hidden="1"/>
    </xf>
    <xf numFmtId="0" fontId="17" fillId="0" borderId="0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alignment horizontal="center"/>
      <protection hidden="1"/>
    </xf>
    <xf numFmtId="171" fontId="17" fillId="0" borderId="19" xfId="0" applyNumberFormat="1" applyFont="1" applyBorder="1" applyAlignment="1" applyProtection="1">
      <alignment horizontal="center"/>
      <protection hidden="1"/>
    </xf>
    <xf numFmtId="0" fontId="17" fillId="0" borderId="19" xfId="0" applyFont="1" applyBorder="1" applyAlignment="1" applyProtection="1">
      <alignment horizontal="center"/>
      <protection hidden="1"/>
    </xf>
    <xf numFmtId="0" fontId="18" fillId="0" borderId="23" xfId="0" applyFont="1" applyBorder="1" applyAlignment="1" applyProtection="1">
      <alignment horizontal="center"/>
      <protection hidden="1"/>
    </xf>
    <xf numFmtId="0" fontId="18" fillId="6" borderId="20" xfId="25" applyFont="1" applyFill="1" applyBorder="1" applyAlignment="1">
      <alignment horizontal="center" vertical="center"/>
    </xf>
    <xf numFmtId="0" fontId="18" fillId="6" borderId="22" xfId="25" applyFont="1" applyFill="1" applyBorder="1" applyAlignment="1">
      <alignment horizontal="center" vertical="center"/>
    </xf>
    <xf numFmtId="0" fontId="18" fillId="6" borderId="21" xfId="25" applyFont="1" applyFill="1" applyBorder="1" applyAlignment="1">
      <alignment horizontal="center" vertical="center"/>
    </xf>
    <xf numFmtId="0" fontId="18" fillId="2" borderId="0" xfId="0" applyFont="1" applyFill="1" applyBorder="1" applyAlignment="1" applyProtection="1">
      <alignment horizontal="center"/>
      <protection hidden="1"/>
    </xf>
    <xf numFmtId="0" fontId="18" fillId="2" borderId="24" xfId="0" applyFont="1" applyFill="1" applyBorder="1" applyAlignment="1" applyProtection="1">
      <alignment horizontal="center"/>
      <protection hidden="1"/>
    </xf>
    <xf numFmtId="0" fontId="17" fillId="0" borderId="27" xfId="0" applyFont="1" applyBorder="1" applyAlignment="1" applyProtection="1">
      <alignment horizontal="left"/>
      <protection hidden="1"/>
    </xf>
    <xf numFmtId="0" fontId="17" fillId="0" borderId="6" xfId="0" applyFont="1" applyBorder="1" applyAlignment="1" applyProtection="1">
      <alignment horizontal="left"/>
      <protection hidden="1"/>
    </xf>
    <xf numFmtId="0" fontId="17" fillId="0" borderId="7" xfId="0" applyFont="1" applyBorder="1" applyAlignment="1" applyProtection="1">
      <alignment horizontal="left"/>
      <protection hidden="1"/>
    </xf>
    <xf numFmtId="0" fontId="18" fillId="5" borderId="20" xfId="25" applyFont="1" applyFill="1" applyBorder="1" applyAlignment="1">
      <alignment horizontal="center" vertical="center"/>
    </xf>
    <xf numFmtId="0" fontId="18" fillId="5" borderId="22" xfId="25" applyFont="1" applyFill="1" applyBorder="1" applyAlignment="1">
      <alignment horizontal="center" vertical="center"/>
    </xf>
    <xf numFmtId="0" fontId="18" fillId="5" borderId="21" xfId="25" applyFont="1" applyFill="1" applyBorder="1" applyAlignment="1">
      <alignment horizontal="center" vertical="center"/>
    </xf>
    <xf numFmtId="168" fontId="18" fillId="5" borderId="20" xfId="1" applyNumberFormat="1" applyFont="1" applyFill="1" applyBorder="1" applyAlignment="1">
      <alignment horizontal="center" vertical="center"/>
    </xf>
    <xf numFmtId="168" fontId="18" fillId="5" borderId="22" xfId="1" applyNumberFormat="1" applyFont="1" applyFill="1" applyBorder="1" applyAlignment="1">
      <alignment horizontal="center" vertical="center"/>
    </xf>
    <xf numFmtId="168" fontId="18" fillId="5" borderId="21" xfId="1" applyNumberFormat="1" applyFont="1" applyFill="1" applyBorder="1" applyAlignment="1">
      <alignment horizontal="center" vertical="center"/>
    </xf>
    <xf numFmtId="14" fontId="18" fillId="5" borderId="20" xfId="25" applyNumberFormat="1" applyFont="1" applyFill="1" applyBorder="1" applyAlignment="1">
      <alignment horizontal="center" vertical="center"/>
    </xf>
    <xf numFmtId="0" fontId="18" fillId="0" borderId="19" xfId="0" applyFont="1" applyBorder="1" applyAlignment="1" applyProtection="1">
      <alignment horizontal="center" vertical="center"/>
      <protection hidden="1"/>
    </xf>
    <xf numFmtId="0" fontId="18" fillId="0" borderId="28" xfId="0" applyFont="1" applyBorder="1" applyAlignment="1" applyProtection="1">
      <alignment horizontal="center"/>
      <protection hidden="1"/>
    </xf>
    <xf numFmtId="14" fontId="18" fillId="0" borderId="20" xfId="25" applyNumberFormat="1" applyFont="1" applyBorder="1" applyAlignment="1">
      <alignment horizontal="center" vertical="center"/>
    </xf>
    <xf numFmtId="14" fontId="18" fillId="0" borderId="22" xfId="25" applyNumberFormat="1" applyFont="1" applyBorder="1" applyAlignment="1">
      <alignment horizontal="center" vertical="center"/>
    </xf>
    <xf numFmtId="14" fontId="18" fillId="0" borderId="21" xfId="25" applyNumberFormat="1" applyFont="1" applyBorder="1" applyAlignment="1">
      <alignment horizontal="center" vertical="center"/>
    </xf>
    <xf numFmtId="0" fontId="18" fillId="0" borderId="22" xfId="25" applyFont="1" applyBorder="1" applyAlignment="1">
      <alignment horizontal="center" vertical="center"/>
    </xf>
    <xf numFmtId="0" fontId="18" fillId="0" borderId="21" xfId="25" applyFont="1" applyBorder="1" applyAlignment="1">
      <alignment horizontal="center" vertical="center"/>
    </xf>
    <xf numFmtId="0" fontId="18" fillId="0" borderId="20" xfId="25" applyFont="1" applyBorder="1" applyAlignment="1">
      <alignment horizontal="center" vertical="center"/>
    </xf>
    <xf numFmtId="0" fontId="18" fillId="6" borderId="20" xfId="25" applyFont="1" applyFill="1" applyBorder="1" applyAlignment="1">
      <alignment horizontal="left" vertical="center"/>
    </xf>
    <xf numFmtId="0" fontId="18" fillId="6" borderId="22" xfId="25" applyFont="1" applyFill="1" applyBorder="1" applyAlignment="1">
      <alignment horizontal="left" vertical="center"/>
    </xf>
    <xf numFmtId="0" fontId="18" fillId="6" borderId="21" xfId="25" applyFont="1" applyFill="1" applyBorder="1" applyAlignment="1">
      <alignment horizontal="left" vertical="center"/>
    </xf>
    <xf numFmtId="171" fontId="18" fillId="5" borderId="20" xfId="25" applyNumberFormat="1" applyFont="1" applyFill="1" applyBorder="1" applyAlignment="1">
      <alignment horizontal="center" vertical="center"/>
    </xf>
    <xf numFmtId="171" fontId="18" fillId="5" borderId="22" xfId="25" applyNumberFormat="1" applyFont="1" applyFill="1" applyBorder="1" applyAlignment="1">
      <alignment horizontal="center" vertical="center"/>
    </xf>
    <xf numFmtId="171" fontId="18" fillId="5" borderId="21" xfId="25" applyNumberFormat="1" applyFont="1" applyFill="1" applyBorder="1" applyAlignment="1">
      <alignment horizontal="center" vertical="center"/>
    </xf>
    <xf numFmtId="0" fontId="18" fillId="5" borderId="43" xfId="0" applyFont="1" applyFill="1" applyBorder="1" applyAlignment="1">
      <alignment horizontal="center" vertical="center"/>
    </xf>
    <xf numFmtId="0" fontId="18" fillId="5" borderId="42" xfId="0" applyFont="1" applyFill="1" applyBorder="1" applyAlignment="1">
      <alignment horizontal="center" vertical="center"/>
    </xf>
    <xf numFmtId="0" fontId="18" fillId="5" borderId="47" xfId="0" applyFont="1" applyFill="1" applyBorder="1" applyAlignment="1">
      <alignment horizontal="center" vertical="center"/>
    </xf>
    <xf numFmtId="0" fontId="18" fillId="0" borderId="35" xfId="25" applyFont="1" applyBorder="1" applyAlignment="1">
      <alignment horizontal="center" vertical="center"/>
    </xf>
    <xf numFmtId="0" fontId="18" fillId="0" borderId="36" xfId="25" applyFont="1" applyBorder="1" applyAlignment="1">
      <alignment horizontal="center" vertical="center"/>
    </xf>
    <xf numFmtId="0" fontId="18" fillId="0" borderId="37" xfId="25" applyFont="1" applyBorder="1" applyAlignment="1">
      <alignment horizontal="center" vertical="center"/>
    </xf>
    <xf numFmtId="0" fontId="18" fillId="10" borderId="20" xfId="25" applyFont="1" applyFill="1" applyBorder="1" applyAlignment="1">
      <alignment horizontal="center" vertical="center"/>
    </xf>
    <xf numFmtId="0" fontId="18" fillId="10" borderId="22" xfId="25" applyFont="1" applyFill="1" applyBorder="1" applyAlignment="1">
      <alignment horizontal="center" vertical="center"/>
    </xf>
    <xf numFmtId="0" fontId="18" fillId="10" borderId="21" xfId="25" applyFont="1" applyFill="1" applyBorder="1" applyAlignment="1">
      <alignment horizontal="center" vertical="center"/>
    </xf>
    <xf numFmtId="166" fontId="10" fillId="0" borderId="58" xfId="1" applyBorder="1" applyAlignment="1">
      <alignment horizontal="center"/>
    </xf>
    <xf numFmtId="166" fontId="10" fillId="0" borderId="0" xfId="1" applyBorder="1" applyAlignment="1">
      <alignment horizontal="center"/>
    </xf>
    <xf numFmtId="0" fontId="24" fillId="0" borderId="54" xfId="33" applyFont="1" applyBorder="1" applyAlignment="1">
      <alignment horizontal="center"/>
    </xf>
    <xf numFmtId="0" fontId="24" fillId="0" borderId="17" xfId="33" applyFont="1" applyBorder="1" applyAlignment="1">
      <alignment horizontal="center"/>
    </xf>
    <xf numFmtId="0" fontId="24" fillId="0" borderId="18" xfId="33" applyFont="1" applyBorder="1" applyAlignment="1">
      <alignment horizontal="center"/>
    </xf>
    <xf numFmtId="0" fontId="26" fillId="0" borderId="0" xfId="33" applyFont="1" applyAlignment="1">
      <alignment horizontal="center"/>
    </xf>
    <xf numFmtId="0" fontId="22" fillId="0" borderId="0" xfId="33" applyFont="1" applyAlignment="1">
      <alignment horizontal="center"/>
    </xf>
    <xf numFmtId="0" fontId="22" fillId="0" borderId="9" xfId="33" applyFont="1" applyBorder="1" applyAlignment="1">
      <alignment horizontal="center"/>
    </xf>
    <xf numFmtId="0" fontId="22" fillId="0" borderId="55" xfId="33" applyFont="1" applyBorder="1" applyAlignment="1">
      <alignment horizontal="center"/>
    </xf>
    <xf numFmtId="0" fontId="22" fillId="0" borderId="56" xfId="33" applyFont="1" applyBorder="1" applyAlignment="1">
      <alignment horizontal="center"/>
    </xf>
    <xf numFmtId="43" fontId="23" fillId="0" borderId="64" xfId="34" applyFont="1" applyBorder="1" applyAlignment="1">
      <alignment horizontal="center" vertical="center"/>
    </xf>
    <xf numFmtId="43" fontId="23" fillId="0" borderId="3" xfId="34" applyFont="1" applyBorder="1" applyAlignment="1">
      <alignment horizontal="center" vertical="center"/>
    </xf>
    <xf numFmtId="43" fontId="23" fillId="0" borderId="14" xfId="33" applyNumberFormat="1" applyFont="1" applyBorder="1" applyAlignment="1">
      <alignment horizontal="center" vertical="center"/>
    </xf>
    <xf numFmtId="43" fontId="23" fillId="0" borderId="16" xfId="33" applyNumberFormat="1" applyFont="1" applyBorder="1" applyAlignment="1">
      <alignment horizontal="center" vertical="center"/>
    </xf>
    <xf numFmtId="0" fontId="22" fillId="0" borderId="0" xfId="33" applyFont="1" applyBorder="1" applyAlignment="1">
      <alignment horizontal="center"/>
    </xf>
    <xf numFmtId="0" fontId="23" fillId="9" borderId="49" xfId="33" applyFont="1" applyFill="1" applyBorder="1" applyAlignment="1">
      <alignment horizontal="center" vertical="distributed" wrapText="1"/>
    </xf>
    <xf numFmtId="0" fontId="23" fillId="9" borderId="50" xfId="33" applyFont="1" applyFill="1" applyBorder="1" applyAlignment="1">
      <alignment horizontal="center" vertical="distributed" wrapText="1"/>
    </xf>
    <xf numFmtId="0" fontId="23" fillId="9" borderId="51" xfId="33" applyFont="1" applyFill="1" applyBorder="1" applyAlignment="1">
      <alignment horizontal="center" vertical="distributed" wrapText="1"/>
    </xf>
    <xf numFmtId="0" fontId="23" fillId="9" borderId="52" xfId="33" applyFont="1" applyFill="1" applyBorder="1" applyAlignment="1">
      <alignment horizontal="center" vertical="distributed" wrapText="1"/>
    </xf>
    <xf numFmtId="0" fontId="23" fillId="9" borderId="48" xfId="33" applyFont="1" applyFill="1" applyBorder="1" applyAlignment="1">
      <alignment horizontal="center" vertical="distributed" wrapText="1"/>
    </xf>
    <xf numFmtId="0" fontId="23" fillId="9" borderId="1" xfId="33" applyFont="1" applyFill="1" applyBorder="1" applyAlignment="1">
      <alignment horizontal="center" vertical="distributed" wrapText="1"/>
    </xf>
    <xf numFmtId="0" fontId="23" fillId="0" borderId="61" xfId="33" applyFont="1" applyBorder="1" applyAlignment="1">
      <alignment horizontal="center" vertical="center"/>
    </xf>
    <xf numFmtId="0" fontId="23" fillId="0" borderId="62" xfId="33" applyFont="1" applyBorder="1" applyAlignment="1">
      <alignment horizontal="center" vertical="center"/>
    </xf>
    <xf numFmtId="0" fontId="23" fillId="0" borderId="64" xfId="33" applyFont="1" applyBorder="1" applyAlignment="1">
      <alignment horizontal="center" vertical="center"/>
    </xf>
    <xf numFmtId="0" fontId="23" fillId="0" borderId="3" xfId="33" applyFont="1" applyBorder="1" applyAlignment="1">
      <alignment horizontal="center" vertical="center"/>
    </xf>
    <xf numFmtId="0" fontId="23" fillId="0" borderId="64" xfId="33" applyFont="1" applyBorder="1" applyAlignment="1">
      <alignment horizontal="left" vertical="top" wrapText="1"/>
    </xf>
    <xf numFmtId="0" fontId="23" fillId="0" borderId="3" xfId="33" applyFont="1" applyBorder="1" applyAlignment="1">
      <alignment horizontal="left" vertical="top" wrapText="1"/>
    </xf>
    <xf numFmtId="49" fontId="23" fillId="0" borderId="64" xfId="33" applyNumberFormat="1" applyFont="1" applyBorder="1" applyAlignment="1">
      <alignment horizontal="center" vertical="center" wrapText="1"/>
    </xf>
    <xf numFmtId="49" fontId="23" fillId="0" borderId="3" xfId="33" applyNumberFormat="1" applyFont="1" applyBorder="1" applyAlignment="1">
      <alignment horizontal="center" vertical="center" wrapText="1"/>
    </xf>
    <xf numFmtId="0" fontId="25" fillId="0" borderId="64" xfId="33" applyFont="1" applyBorder="1" applyAlignment="1">
      <alignment horizontal="center" vertical="distributed" wrapText="1"/>
    </xf>
    <xf numFmtId="0" fontId="25" fillId="0" borderId="3" xfId="33" applyFont="1" applyBorder="1" applyAlignment="1">
      <alignment horizontal="center" vertical="distributed" wrapText="1"/>
    </xf>
    <xf numFmtId="49" fontId="33" fillId="0" borderId="71" xfId="0" applyNumberFormat="1" applyFont="1" applyBorder="1" applyAlignment="1">
      <alignment horizontal="center"/>
    </xf>
    <xf numFmtId="49" fontId="33" fillId="0" borderId="72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49" fontId="33" fillId="0" borderId="75" xfId="0" applyNumberFormat="1" applyFont="1" applyBorder="1" applyAlignment="1">
      <alignment horizontal="center"/>
    </xf>
    <xf numFmtId="49" fontId="33" fillId="0" borderId="73" xfId="0" applyNumberFormat="1" applyFont="1" applyBorder="1" applyAlignment="1">
      <alignment horizontal="center"/>
    </xf>
    <xf numFmtId="0" fontId="39" fillId="13" borderId="71" xfId="33" applyFont="1" applyFill="1" applyBorder="1" applyAlignment="1">
      <alignment horizontal="center" vertical="distributed" wrapText="1"/>
    </xf>
    <xf numFmtId="0" fontId="39" fillId="13" borderId="72" xfId="33" applyFont="1" applyFill="1" applyBorder="1" applyAlignment="1">
      <alignment horizontal="center" vertical="distributed" wrapText="1"/>
    </xf>
    <xf numFmtId="0" fontId="39" fillId="13" borderId="5" xfId="33" applyFont="1" applyFill="1" applyBorder="1" applyAlignment="1">
      <alignment horizontal="center" vertical="distributed" wrapText="1"/>
    </xf>
    <xf numFmtId="0" fontId="31" fillId="0" borderId="71" xfId="33" applyFont="1" applyFill="1" applyBorder="1" applyAlignment="1">
      <alignment horizontal="center" vertical="center" wrapText="1"/>
    </xf>
    <xf numFmtId="0" fontId="31" fillId="0" borderId="72" xfId="33" applyFont="1" applyFill="1" applyBorder="1" applyAlignment="1">
      <alignment horizontal="center" vertical="center" wrapText="1"/>
    </xf>
    <xf numFmtId="0" fontId="31" fillId="0" borderId="5" xfId="33" applyFont="1" applyFill="1" applyBorder="1" applyAlignment="1">
      <alignment horizontal="center" vertical="center" wrapText="1"/>
    </xf>
    <xf numFmtId="0" fontId="31" fillId="13" borderId="59" xfId="33" applyFont="1" applyFill="1" applyBorder="1" applyAlignment="1">
      <alignment horizontal="center" vertical="center"/>
    </xf>
    <xf numFmtId="0" fontId="31" fillId="13" borderId="9" xfId="33" applyFont="1" applyFill="1" applyBorder="1" applyAlignment="1">
      <alignment horizontal="center" vertical="center"/>
    </xf>
    <xf numFmtId="0" fontId="30" fillId="0" borderId="0" xfId="33" applyFont="1" applyFill="1" applyAlignment="1">
      <alignment horizontal="left"/>
    </xf>
    <xf numFmtId="0" fontId="31" fillId="13" borderId="71" xfId="33" applyFont="1" applyFill="1" applyBorder="1" applyAlignment="1">
      <alignment horizontal="center" vertical="center"/>
    </xf>
    <xf numFmtId="0" fontId="31" fillId="13" borderId="5" xfId="33" applyFont="1" applyFill="1" applyBorder="1" applyAlignment="1">
      <alignment horizontal="center" vertical="center"/>
    </xf>
    <xf numFmtId="0" fontId="31" fillId="6" borderId="71" xfId="33" applyFont="1" applyFill="1" applyBorder="1" applyAlignment="1">
      <alignment horizontal="center" vertical="center"/>
    </xf>
    <xf numFmtId="0" fontId="31" fillId="6" borderId="72" xfId="33" applyFont="1" applyFill="1" applyBorder="1" applyAlignment="1">
      <alignment horizontal="center" vertical="center"/>
    </xf>
    <xf numFmtId="0" fontId="31" fillId="6" borderId="5" xfId="33" applyFont="1" applyFill="1" applyBorder="1" applyAlignment="1">
      <alignment horizontal="center" vertical="center"/>
    </xf>
    <xf numFmtId="0" fontId="31" fillId="0" borderId="0" xfId="33" applyFont="1" applyFill="1" applyBorder="1" applyAlignment="1">
      <alignment horizontal="right"/>
    </xf>
    <xf numFmtId="0" fontId="30" fillId="0" borderId="0" xfId="33" applyFont="1" applyFill="1" applyBorder="1" applyAlignment="1">
      <alignment horizontal="justify" vertical="center" wrapText="1"/>
    </xf>
    <xf numFmtId="0" fontId="31" fillId="0" borderId="0" xfId="33" applyFont="1" applyFill="1" applyBorder="1" applyAlignment="1">
      <alignment horizontal="left" vertical="top" wrapText="1"/>
    </xf>
    <xf numFmtId="0" fontId="31" fillId="0" borderId="0" xfId="33" applyFont="1" applyFill="1" applyBorder="1" applyAlignment="1">
      <alignment horizontal="left"/>
    </xf>
    <xf numFmtId="0" fontId="31" fillId="0" borderId="0" xfId="33" applyFont="1" applyFill="1" applyAlignment="1">
      <alignment horizontal="center"/>
    </xf>
    <xf numFmtId="0" fontId="30" fillId="0" borderId="0" xfId="33" applyFont="1" applyFill="1" applyAlignment="1">
      <alignment horizontal="center"/>
    </xf>
    <xf numFmtId="0" fontId="40" fillId="0" borderId="0" xfId="33" applyFont="1" applyAlignment="1">
      <alignment horizontal="justify" vertical="top" wrapText="1"/>
    </xf>
    <xf numFmtId="0" fontId="40" fillId="0" borderId="0" xfId="33" applyFont="1" applyAlignment="1">
      <alignment horizontal="justify" vertical="top"/>
    </xf>
    <xf numFmtId="0" fontId="40" fillId="0" borderId="0" xfId="33" applyFont="1" applyAlignment="1">
      <alignment horizontal="left"/>
    </xf>
    <xf numFmtId="0" fontId="53" fillId="0" borderId="0" xfId="25" applyFont="1" applyAlignment="1">
      <alignment horizontal="center" wrapText="1"/>
    </xf>
    <xf numFmtId="0" fontId="51" fillId="0" borderId="0" xfId="0" applyFont="1" applyAlignment="1">
      <alignment horizontal="center" vertical="center" wrapText="1"/>
    </xf>
    <xf numFmtId="0" fontId="53" fillId="5" borderId="0" xfId="25" applyFont="1" applyFill="1" applyAlignment="1">
      <alignment horizontal="center" vertical="center"/>
    </xf>
    <xf numFmtId="0" fontId="47" fillId="0" borderId="0" xfId="25" applyFont="1" applyAlignment="1">
      <alignment horizontal="left"/>
    </xf>
    <xf numFmtId="0" fontId="54" fillId="5" borderId="0" xfId="25" applyFont="1" applyFill="1" applyAlignment="1">
      <alignment horizontal="left" wrapText="1"/>
    </xf>
    <xf numFmtId="0" fontId="54" fillId="5" borderId="0" xfId="25" applyFont="1" applyFill="1" applyAlignment="1">
      <alignment horizontal="left"/>
    </xf>
    <xf numFmtId="0" fontId="55" fillId="0" borderId="0" xfId="25" applyFont="1" applyAlignment="1">
      <alignment horizontal="center"/>
    </xf>
    <xf numFmtId="0" fontId="53" fillId="0" borderId="0" xfId="25" applyFont="1" applyAlignment="1">
      <alignment wrapText="1"/>
    </xf>
    <xf numFmtId="0" fontId="53" fillId="0" borderId="0" xfId="25" applyFont="1" applyAlignment="1">
      <alignment horizontal="left" wrapText="1"/>
    </xf>
    <xf numFmtId="0" fontId="53" fillId="0" borderId="0" xfId="25" applyFont="1" applyAlignment="1">
      <alignment horizontal="left" vertical="center" wrapText="1"/>
    </xf>
    <xf numFmtId="0" fontId="47" fillId="0" borderId="0" xfId="25" applyFont="1" applyAlignment="1">
      <alignment horizontal="left" wrapText="1"/>
    </xf>
    <xf numFmtId="0" fontId="46" fillId="0" borderId="13" xfId="37" applyFont="1" applyBorder="1" applyAlignment="1">
      <alignment horizontal="center" vertical="center" wrapText="1"/>
    </xf>
    <xf numFmtId="0" fontId="46" fillId="0" borderId="3" xfId="37" applyFont="1" applyBorder="1" applyAlignment="1">
      <alignment horizontal="center" vertical="center" wrapText="1"/>
    </xf>
    <xf numFmtId="0" fontId="56" fillId="0" borderId="0" xfId="25" applyFont="1" applyAlignment="1">
      <alignment horizontal="justify" vertical="top" wrapText="1"/>
    </xf>
    <xf numFmtId="0" fontId="56" fillId="0" borderId="0" xfId="25" applyFont="1" applyAlignment="1">
      <alignment horizontal="left" vertical="top" wrapText="1"/>
    </xf>
    <xf numFmtId="0" fontId="56" fillId="0" borderId="0" xfId="25" applyFont="1" applyAlignment="1">
      <alignment horizontal="left" vertical="center" wrapText="1"/>
    </xf>
    <xf numFmtId="0" fontId="58" fillId="0" borderId="0" xfId="25" applyFont="1" applyAlignment="1">
      <alignment horizontal="left" wrapText="1"/>
    </xf>
    <xf numFmtId="0" fontId="59" fillId="0" borderId="6" xfId="25" applyFont="1" applyBorder="1" applyAlignment="1">
      <alignment horizontal="center" wrapText="1"/>
    </xf>
    <xf numFmtId="0" fontId="46" fillId="17" borderId="48" xfId="37" applyFont="1" applyFill="1" applyBorder="1" applyAlignment="1">
      <alignment horizontal="center" vertical="center"/>
    </xf>
    <xf numFmtId="0" fontId="33" fillId="0" borderId="13" xfId="17" applyFont="1" applyBorder="1" applyAlignment="1">
      <alignment horizontal="center" vertical="center"/>
    </xf>
    <xf numFmtId="0" fontId="33" fillId="0" borderId="3" xfId="17" applyFont="1" applyBorder="1" applyAlignment="1">
      <alignment horizontal="center" vertical="center"/>
    </xf>
    <xf numFmtId="0" fontId="46" fillId="0" borderId="11" xfId="37" applyFont="1" applyBorder="1" applyAlignment="1">
      <alignment horizontal="center" vertical="center" wrapText="1"/>
    </xf>
    <xf numFmtId="0" fontId="46" fillId="0" borderId="12" xfId="37" applyFont="1" applyBorder="1" applyAlignment="1">
      <alignment horizontal="center" vertical="center" wrapText="1"/>
    </xf>
    <xf numFmtId="0" fontId="46" fillId="0" borderId="68" xfId="37" applyFont="1" applyBorder="1" applyAlignment="1">
      <alignment horizontal="center" vertical="center" wrapText="1"/>
    </xf>
    <xf numFmtId="0" fontId="46" fillId="0" borderId="7" xfId="37" applyFont="1" applyBorder="1" applyAlignment="1">
      <alignment horizontal="center" vertical="center" wrapText="1"/>
    </xf>
    <xf numFmtId="0" fontId="49" fillId="0" borderId="66" xfId="37" applyFont="1" applyBorder="1" applyAlignment="1">
      <alignment horizontal="justify" vertical="center" wrapText="1"/>
    </xf>
    <xf numFmtId="0" fontId="40" fillId="0" borderId="8" xfId="37" applyFont="1" applyBorder="1" applyAlignment="1">
      <alignment horizontal="justify" vertical="center" wrapText="1"/>
    </xf>
    <xf numFmtId="0" fontId="46" fillId="17" borderId="65" xfId="37" applyFont="1" applyFill="1" applyBorder="1" applyAlignment="1">
      <alignment horizontal="center" vertical="center" wrapText="1"/>
    </xf>
    <xf numFmtId="0" fontId="46" fillId="17" borderId="10" xfId="37" applyFont="1" applyFill="1" applyBorder="1" applyAlignment="1">
      <alignment horizontal="center" vertical="center" wrapText="1"/>
    </xf>
    <xf numFmtId="0" fontId="46" fillId="9" borderId="65" xfId="37" applyFont="1" applyFill="1" applyBorder="1" applyAlignment="1">
      <alignment horizontal="center" vertical="center" wrapText="1"/>
    </xf>
    <xf numFmtId="0" fontId="46" fillId="9" borderId="10" xfId="37" applyFont="1" applyFill="1" applyBorder="1" applyAlignment="1">
      <alignment horizontal="center" vertical="center" wrapText="1"/>
    </xf>
    <xf numFmtId="168" fontId="46" fillId="9" borderId="66" xfId="37" applyNumberFormat="1" applyFont="1" applyFill="1" applyBorder="1" applyAlignment="1">
      <alignment horizontal="center" wrapText="1"/>
    </xf>
    <xf numFmtId="164" fontId="46" fillId="9" borderId="8" xfId="37" applyNumberFormat="1" applyFont="1" applyFill="1" applyBorder="1" applyAlignment="1">
      <alignment horizontal="center" wrapText="1"/>
    </xf>
    <xf numFmtId="168" fontId="46" fillId="17" borderId="66" xfId="37" applyNumberFormat="1" applyFont="1" applyFill="1" applyBorder="1" applyAlignment="1">
      <alignment horizontal="center" wrapText="1"/>
    </xf>
    <xf numFmtId="164" fontId="46" fillId="17" borderId="8" xfId="37" applyNumberFormat="1" applyFont="1" applyFill="1" applyBorder="1" applyAlignment="1">
      <alignment horizontal="center" wrapText="1"/>
    </xf>
    <xf numFmtId="164" fontId="46" fillId="17" borderId="66" xfId="37" applyNumberFormat="1" applyFont="1" applyFill="1" applyBorder="1" applyAlignment="1">
      <alignment horizontal="center" wrapText="1"/>
    </xf>
    <xf numFmtId="0" fontId="33" fillId="0" borderId="10" xfId="17" applyFont="1" applyBorder="1" applyAlignment="1">
      <alignment horizontal="center" vertical="center"/>
    </xf>
    <xf numFmtId="0" fontId="33" fillId="0" borderId="12" xfId="17" applyFont="1" applyBorder="1" applyAlignment="1">
      <alignment horizontal="center" vertical="center"/>
    </xf>
    <xf numFmtId="0" fontId="33" fillId="0" borderId="7" xfId="17" applyFont="1" applyBorder="1" applyAlignment="1">
      <alignment horizontal="center" vertical="center"/>
    </xf>
    <xf numFmtId="0" fontId="46" fillId="0" borderId="64" xfId="37" applyFont="1" applyBorder="1" applyAlignment="1">
      <alignment horizontal="center" vertical="center" wrapText="1"/>
    </xf>
    <xf numFmtId="0" fontId="46" fillId="0" borderId="67" xfId="37" applyFont="1" applyBorder="1" applyAlignment="1">
      <alignment horizontal="center" vertical="center" wrapText="1"/>
    </xf>
    <xf numFmtId="0" fontId="46" fillId="0" borderId="10" xfId="37" applyFont="1" applyBorder="1" applyAlignment="1">
      <alignment horizontal="center" vertical="center" wrapText="1"/>
    </xf>
    <xf numFmtId="0" fontId="33" fillId="0" borderId="8" xfId="17" applyFont="1" applyBorder="1" applyAlignment="1">
      <alignment horizontal="center" vertical="center" wrapText="1"/>
    </xf>
    <xf numFmtId="0" fontId="46" fillId="0" borderId="64" xfId="37" quotePrefix="1" applyFont="1" applyBorder="1" applyAlignment="1">
      <alignment horizontal="center" vertical="center" wrapText="1"/>
    </xf>
    <xf numFmtId="0" fontId="46" fillId="17" borderId="8" xfId="37" applyFont="1" applyFill="1" applyBorder="1" applyAlignment="1">
      <alignment horizontal="center" vertical="center" wrapText="1"/>
    </xf>
    <xf numFmtId="0" fontId="46" fillId="17" borderId="48" xfId="37" applyFont="1" applyFill="1" applyBorder="1" applyAlignment="1">
      <alignment horizontal="center" vertical="center" wrapText="1"/>
    </xf>
    <xf numFmtId="0" fontId="46" fillId="9" borderId="48" xfId="37" applyFont="1" applyFill="1" applyBorder="1" applyAlignment="1">
      <alignment horizontal="center" vertical="center" wrapText="1"/>
    </xf>
    <xf numFmtId="0" fontId="46" fillId="9" borderId="48" xfId="37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9" fillId="0" borderId="48" xfId="37" applyFont="1" applyBorder="1" applyAlignment="1">
      <alignment horizontal="justify" vertical="center" wrapText="1"/>
    </xf>
    <xf numFmtId="0" fontId="40" fillId="0" borderId="48" xfId="37" applyFont="1" applyBorder="1" applyAlignment="1">
      <alignment horizontal="justify" vertical="center" wrapText="1"/>
    </xf>
    <xf numFmtId="164" fontId="46" fillId="9" borderId="66" xfId="37" applyNumberFormat="1" applyFont="1" applyFill="1" applyBorder="1" applyAlignment="1">
      <alignment horizontal="center" wrapText="1"/>
    </xf>
    <xf numFmtId="0" fontId="46" fillId="9" borderId="3" xfId="37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/>
    </xf>
    <xf numFmtId="0" fontId="50" fillId="0" borderId="64" xfId="17" quotePrefix="1" applyFont="1" applyBorder="1" applyAlignment="1">
      <alignment horizontal="center" vertical="center"/>
    </xf>
    <xf numFmtId="0" fontId="50" fillId="0" borderId="13" xfId="17" applyFont="1" applyBorder="1" applyAlignment="1">
      <alignment horizontal="center" vertical="center"/>
    </xf>
    <xf numFmtId="0" fontId="50" fillId="0" borderId="3" xfId="17" applyFont="1" applyBorder="1" applyAlignment="1">
      <alignment horizontal="center" vertical="center"/>
    </xf>
    <xf numFmtId="0" fontId="33" fillId="0" borderId="10" xfId="17" applyFont="1" applyBorder="1" applyAlignment="1">
      <alignment horizontal="center" vertical="center" wrapText="1"/>
    </xf>
    <xf numFmtId="0" fontId="33" fillId="0" borderId="12" xfId="17" applyFont="1" applyBorder="1" applyAlignment="1">
      <alignment horizontal="center" vertical="center" wrapText="1"/>
    </xf>
    <xf numFmtId="0" fontId="33" fillId="0" borderId="7" xfId="17" applyFont="1" applyBorder="1" applyAlignment="1">
      <alignment horizontal="center" vertical="center" wrapText="1"/>
    </xf>
    <xf numFmtId="171" fontId="33" fillId="0" borderId="64" xfId="37" quotePrefix="1" applyNumberFormat="1" applyFont="1" applyBorder="1" applyAlignment="1">
      <alignment horizontal="center" vertical="center"/>
    </xf>
    <xf numFmtId="171" fontId="33" fillId="0" borderId="13" xfId="37" quotePrefix="1" applyNumberFormat="1" applyFont="1" applyBorder="1" applyAlignment="1">
      <alignment horizontal="center" vertical="center"/>
    </xf>
    <xf numFmtId="171" fontId="33" fillId="0" borderId="3" xfId="37" quotePrefix="1" applyNumberFormat="1" applyFont="1" applyBorder="1" applyAlignment="1">
      <alignment horizontal="center" vertical="center"/>
    </xf>
    <xf numFmtId="0" fontId="19" fillId="6" borderId="48" xfId="0" applyFont="1" applyFill="1" applyBorder="1" applyAlignment="1" applyProtection="1">
      <alignment horizontal="center"/>
      <protection hidden="1"/>
    </xf>
    <xf numFmtId="0" fontId="33" fillId="5" borderId="48" xfId="0" applyFont="1" applyFill="1" applyBorder="1" applyAlignment="1">
      <alignment horizontal="center" vertical="center"/>
    </xf>
    <xf numFmtId="0" fontId="33" fillId="6" borderId="48" xfId="0" applyFont="1" applyFill="1" applyBorder="1" applyAlignment="1">
      <alignment horizontal="center" vertical="center"/>
    </xf>
    <xf numFmtId="0" fontId="33" fillId="4" borderId="11" xfId="25" applyFont="1" applyFill="1" applyBorder="1" applyAlignment="1">
      <alignment horizontal="center" vertical="center"/>
    </xf>
    <xf numFmtId="0" fontId="33" fillId="4" borderId="0" xfId="25" applyFont="1" applyFill="1" applyBorder="1" applyAlignment="1">
      <alignment horizontal="center" vertical="center"/>
    </xf>
    <xf numFmtId="0" fontId="33" fillId="4" borderId="12" xfId="25" applyFont="1" applyFill="1" applyBorder="1" applyAlignment="1">
      <alignment horizontal="center" vertical="center"/>
    </xf>
    <xf numFmtId="0" fontId="18" fillId="6" borderId="11" xfId="35" applyFont="1" applyFill="1" applyBorder="1" applyAlignment="1">
      <alignment horizontal="center" vertical="center"/>
    </xf>
    <xf numFmtId="0" fontId="18" fillId="6" borderId="0" xfId="35" applyFont="1" applyFill="1" applyAlignment="1">
      <alignment horizontal="center" vertical="center"/>
    </xf>
    <xf numFmtId="0" fontId="18" fillId="6" borderId="12" xfId="35" applyFont="1" applyFill="1" applyBorder="1" applyAlignment="1">
      <alignment horizontal="center" vertical="center"/>
    </xf>
    <xf numFmtId="0" fontId="33" fillId="12" borderId="66" xfId="25" applyFont="1" applyFill="1" applyBorder="1" applyAlignment="1">
      <alignment horizontal="center" vertical="center"/>
    </xf>
    <xf numFmtId="0" fontId="33" fillId="12" borderId="4" xfId="25" applyFont="1" applyFill="1" applyBorder="1" applyAlignment="1">
      <alignment horizontal="center" vertical="center"/>
    </xf>
    <xf numFmtId="0" fontId="18" fillId="5" borderId="64" xfId="35" applyFont="1" applyFill="1" applyBorder="1" applyAlignment="1">
      <alignment horizontal="center" vertical="center"/>
    </xf>
    <xf numFmtId="0" fontId="19" fillId="6" borderId="76" xfId="0" applyFont="1" applyFill="1" applyBorder="1" applyAlignment="1" applyProtection="1">
      <alignment horizontal="center"/>
      <protection hidden="1"/>
    </xf>
    <xf numFmtId="0" fontId="19" fillId="6" borderId="77" xfId="0" applyFont="1" applyFill="1" applyBorder="1" applyAlignment="1" applyProtection="1">
      <alignment horizontal="center"/>
      <protection hidden="1"/>
    </xf>
    <xf numFmtId="0" fontId="19" fillId="6" borderId="84" xfId="0" applyFont="1" applyFill="1" applyBorder="1" applyAlignment="1" applyProtection="1">
      <alignment horizontal="center"/>
      <protection hidden="1"/>
    </xf>
    <xf numFmtId="0" fontId="0" fillId="0" borderId="66" xfId="25" applyFont="1" applyBorder="1" applyAlignment="1">
      <alignment horizontal="left" vertical="center"/>
    </xf>
    <xf numFmtId="0" fontId="0" fillId="0" borderId="4" xfId="25" applyFont="1" applyBorder="1" applyAlignment="1">
      <alignment horizontal="left" vertical="center"/>
    </xf>
    <xf numFmtId="0" fontId="0" fillId="0" borderId="8" xfId="25" applyFont="1" applyBorder="1" applyAlignment="1">
      <alignment horizontal="left" vertical="center"/>
    </xf>
    <xf numFmtId="0" fontId="33" fillId="0" borderId="48" xfId="25" applyFont="1" applyBorder="1" applyAlignment="1">
      <alignment horizontal="center" vertical="center"/>
    </xf>
    <xf numFmtId="0" fontId="33" fillId="6" borderId="48" xfId="25" applyFont="1" applyFill="1" applyBorder="1" applyAlignment="1">
      <alignment horizontal="center" vertical="center"/>
    </xf>
    <xf numFmtId="0" fontId="33" fillId="6" borderId="48" xfId="25" applyFont="1" applyFill="1" applyBorder="1" applyAlignment="1">
      <alignment horizontal="left" vertical="center"/>
    </xf>
    <xf numFmtId="0" fontId="0" fillId="5" borderId="66" xfId="25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71" fontId="33" fillId="5" borderId="48" xfId="25" applyNumberFormat="1" applyFont="1" applyFill="1" applyBorder="1" applyAlignment="1">
      <alignment horizontal="center" vertical="center" wrapText="1"/>
    </xf>
    <xf numFmtId="0" fontId="33" fillId="5" borderId="11" xfId="25" applyFont="1" applyFill="1" applyBorder="1" applyAlignment="1">
      <alignment horizontal="center" vertical="center"/>
    </xf>
    <xf numFmtId="0" fontId="33" fillId="5" borderId="0" xfId="25" applyFont="1" applyFill="1" applyBorder="1" applyAlignment="1">
      <alignment horizontal="center" vertical="center"/>
    </xf>
    <xf numFmtId="0" fontId="33" fillId="5" borderId="12" xfId="25" applyFont="1" applyFill="1" applyBorder="1" applyAlignment="1">
      <alignment horizontal="center" vertical="center"/>
    </xf>
    <xf numFmtId="0" fontId="33" fillId="12" borderId="48" xfId="25" applyFont="1" applyFill="1" applyBorder="1" applyAlignment="1">
      <alignment horizontal="center" vertical="center"/>
    </xf>
    <xf numFmtId="14" fontId="33" fillId="0" borderId="48" xfId="25" applyNumberFormat="1" applyFont="1" applyBorder="1" applyAlignment="1">
      <alignment horizontal="center" vertical="center"/>
    </xf>
    <xf numFmtId="0" fontId="33" fillId="7" borderId="48" xfId="0" applyFont="1" applyFill="1" applyBorder="1" applyAlignment="1" applyProtection="1">
      <alignment horizontal="center"/>
      <protection hidden="1"/>
    </xf>
    <xf numFmtId="0" fontId="33" fillId="6" borderId="48" xfId="0" applyFont="1" applyFill="1" applyBorder="1" applyAlignment="1" applyProtection="1">
      <alignment horizontal="center" vertical="center" wrapText="1"/>
      <protection hidden="1"/>
    </xf>
    <xf numFmtId="0" fontId="33" fillId="6" borderId="48" xfId="0" applyFont="1" applyFill="1" applyBorder="1" applyAlignment="1" applyProtection="1">
      <alignment horizontal="center" wrapText="1"/>
      <protection hidden="1"/>
    </xf>
    <xf numFmtId="171" fontId="0" fillId="0" borderId="48" xfId="0" applyNumberFormat="1" applyFont="1" applyBorder="1" applyAlignment="1" applyProtection="1">
      <alignment horizontal="center" vertical="center" wrapText="1"/>
      <protection hidden="1"/>
    </xf>
    <xf numFmtId="0" fontId="0" fillId="0" borderId="48" xfId="0" applyFont="1" applyBorder="1" applyAlignment="1" applyProtection="1">
      <alignment horizontal="center" vertical="center" wrapText="1"/>
      <protection hidden="1"/>
    </xf>
    <xf numFmtId="0" fontId="33" fillId="0" borderId="48" xfId="0" applyFont="1" applyBorder="1" applyAlignment="1" applyProtection="1">
      <alignment horizontal="center" vertical="center" wrapText="1"/>
      <protection hidden="1"/>
    </xf>
    <xf numFmtId="0" fontId="19" fillId="6" borderId="70" xfId="0" applyFont="1" applyFill="1" applyBorder="1" applyAlignment="1" applyProtection="1">
      <alignment horizontal="center" vertical="center"/>
      <protection hidden="1"/>
    </xf>
    <xf numFmtId="0" fontId="19" fillId="6" borderId="53" xfId="0" applyFont="1" applyFill="1" applyBorder="1" applyAlignment="1" applyProtection="1">
      <alignment horizontal="center" vertical="center"/>
      <protection hidden="1"/>
    </xf>
    <xf numFmtId="0" fontId="33" fillId="5" borderId="48" xfId="25" applyFont="1" applyFill="1" applyBorder="1" applyAlignment="1">
      <alignment horizontal="center" vertical="center"/>
    </xf>
    <xf numFmtId="168" fontId="33" fillId="5" borderId="48" xfId="1" applyNumberFormat="1" applyFont="1" applyFill="1" applyBorder="1" applyAlignment="1">
      <alignment horizontal="center" vertical="center"/>
    </xf>
    <xf numFmtId="14" fontId="33" fillId="5" borderId="48" xfId="25" applyNumberFormat="1" applyFont="1" applyFill="1" applyBorder="1" applyAlignment="1">
      <alignment horizontal="center" vertical="center"/>
    </xf>
    <xf numFmtId="0" fontId="0" fillId="0" borderId="48" xfId="0" applyFont="1" applyBorder="1" applyAlignment="1" applyProtection="1">
      <alignment horizontal="left"/>
      <protection hidden="1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33" fillId="6" borderId="48" xfId="0" applyFont="1" applyFill="1" applyBorder="1" applyAlignment="1" applyProtection="1">
      <alignment horizontal="center"/>
      <protection hidden="1"/>
    </xf>
    <xf numFmtId="0" fontId="33" fillId="0" borderId="48" xfId="0" applyFont="1" applyBorder="1" applyAlignment="1" applyProtection="1">
      <alignment horizontal="center"/>
      <protection hidden="1"/>
    </xf>
    <xf numFmtId="0" fontId="0" fillId="0" borderId="66" xfId="0" applyFont="1" applyBorder="1" applyAlignment="1" applyProtection="1">
      <alignment horizontal="left" vertical="center"/>
      <protection hidden="1"/>
    </xf>
    <xf numFmtId="0" fontId="0" fillId="0" borderId="4" xfId="0" applyFont="1" applyBorder="1" applyAlignment="1" applyProtection="1">
      <alignment horizontal="left" vertical="center"/>
      <protection hidden="1"/>
    </xf>
    <xf numFmtId="0" fontId="33" fillId="5" borderId="48" xfId="0" applyFont="1" applyFill="1" applyBorder="1" applyAlignment="1" applyProtection="1">
      <alignment horizontal="center"/>
      <protection hidden="1"/>
    </xf>
    <xf numFmtId="0" fontId="31" fillId="0" borderId="0" xfId="33" applyFont="1" applyAlignment="1">
      <alignment horizontal="center"/>
    </xf>
    <xf numFmtId="0" fontId="33" fillId="9" borderId="48" xfId="25" applyFont="1" applyFill="1" applyBorder="1" applyAlignment="1">
      <alignment horizontal="center" vertical="center"/>
    </xf>
    <xf numFmtId="0" fontId="0" fillId="0" borderId="8" xfId="0" applyFont="1" applyBorder="1" applyAlignment="1" applyProtection="1">
      <alignment horizontal="left" vertical="center"/>
      <protection hidden="1"/>
    </xf>
    <xf numFmtId="0" fontId="0" fillId="0" borderId="66" xfId="0" applyFont="1" applyBorder="1" applyAlignment="1" applyProtection="1">
      <alignment horizontal="left"/>
      <protection hidden="1"/>
    </xf>
    <xf numFmtId="0" fontId="0" fillId="0" borderId="4" xfId="0" applyFont="1" applyBorder="1" applyAlignment="1" applyProtection="1">
      <alignment horizontal="left"/>
      <protection hidden="1"/>
    </xf>
    <xf numFmtId="0" fontId="0" fillId="0" borderId="8" xfId="0" applyFont="1" applyBorder="1" applyAlignment="1" applyProtection="1">
      <alignment horizontal="left"/>
      <protection hidden="1"/>
    </xf>
    <xf numFmtId="0" fontId="33" fillId="4" borderId="0" xfId="0" applyFont="1" applyFill="1" applyBorder="1" applyAlignment="1" applyProtection="1">
      <alignment horizontal="center"/>
      <protection hidden="1"/>
    </xf>
    <xf numFmtId="0" fontId="33" fillId="4" borderId="12" xfId="0" applyFont="1" applyFill="1" applyBorder="1" applyAlignment="1" applyProtection="1">
      <alignment horizontal="center"/>
      <protection hidden="1"/>
    </xf>
    <xf numFmtId="0" fontId="33" fillId="6" borderId="48" xfId="0" applyFont="1" applyFill="1" applyBorder="1" applyAlignment="1" applyProtection="1">
      <alignment horizontal="center" vertical="center"/>
      <protection hidden="1"/>
    </xf>
    <xf numFmtId="0" fontId="0" fillId="0" borderId="48" xfId="0" applyFont="1" applyBorder="1" applyAlignment="1" applyProtection="1">
      <protection hidden="1"/>
    </xf>
    <xf numFmtId="10" fontId="0" fillId="5" borderId="66" xfId="2" applyNumberFormat="1" applyFont="1" applyFill="1" applyBorder="1" applyAlignment="1" applyProtection="1">
      <alignment horizontal="left" vertical="center" wrapText="1"/>
      <protection hidden="1"/>
    </xf>
    <xf numFmtId="10" fontId="0" fillId="5" borderId="4" xfId="2" applyNumberFormat="1" applyFont="1" applyFill="1" applyBorder="1" applyAlignment="1" applyProtection="1">
      <alignment horizontal="left" vertical="center" wrapText="1"/>
      <protection hidden="1"/>
    </xf>
    <xf numFmtId="10" fontId="0" fillId="5" borderId="8" xfId="2" applyNumberFormat="1" applyFont="1" applyFill="1" applyBorder="1" applyAlignment="1" applyProtection="1">
      <alignment horizontal="left" vertical="center" wrapText="1"/>
      <protection hidden="1"/>
    </xf>
    <xf numFmtId="0" fontId="0" fillId="5" borderId="66" xfId="0" applyFont="1" applyFill="1" applyBorder="1" applyAlignment="1" applyProtection="1">
      <alignment horizontal="left" vertical="center" wrapText="1"/>
      <protection hidden="1"/>
    </xf>
    <xf numFmtId="0" fontId="0" fillId="5" borderId="4" xfId="0" applyFont="1" applyFill="1" applyBorder="1" applyAlignment="1" applyProtection="1">
      <alignment horizontal="left" vertical="center" wrapText="1"/>
      <protection hidden="1"/>
    </xf>
    <xf numFmtId="0" fontId="0" fillId="0" borderId="8" xfId="0" applyFont="1" applyBorder="1" applyAlignment="1">
      <alignment horizontal="left" vertical="center" wrapText="1"/>
    </xf>
    <xf numFmtId="0" fontId="0" fillId="0" borderId="48" xfId="0" applyFont="1" applyFill="1" applyBorder="1" applyAlignment="1" applyProtection="1">
      <protection hidden="1"/>
    </xf>
    <xf numFmtId="0" fontId="33" fillId="0" borderId="11" xfId="0" applyFont="1" applyBorder="1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33" fillId="0" borderId="12" xfId="0" applyFont="1" applyBorder="1" applyAlignment="1" applyProtection="1">
      <alignment horizontal="center"/>
      <protection hidden="1"/>
    </xf>
    <xf numFmtId="0" fontId="33" fillId="6" borderId="66" xfId="0" applyFont="1" applyFill="1" applyBorder="1" applyAlignment="1" applyProtection="1">
      <alignment horizontal="center"/>
      <protection hidden="1"/>
    </xf>
    <xf numFmtId="0" fontId="33" fillId="6" borderId="4" xfId="0" applyFont="1" applyFill="1" applyBorder="1" applyAlignment="1" applyProtection="1">
      <alignment horizontal="center"/>
      <protection hidden="1"/>
    </xf>
    <xf numFmtId="0" fontId="33" fillId="6" borderId="8" xfId="0" applyFont="1" applyFill="1" applyBorder="1" applyAlignment="1" applyProtection="1">
      <alignment horizontal="center"/>
      <protection hidden="1"/>
    </xf>
    <xf numFmtId="0" fontId="0" fillId="0" borderId="11" xfId="0" applyFont="1" applyBorder="1" applyAlignment="1" applyProtection="1">
      <alignment horizontal="center"/>
      <protection hidden="1"/>
    </xf>
    <xf numFmtId="0" fontId="44" fillId="0" borderId="0" xfId="33" applyFont="1" applyAlignment="1">
      <alignment horizontal="center"/>
    </xf>
    <xf numFmtId="0" fontId="43" fillId="0" borderId="0" xfId="33" applyFont="1" applyAlignment="1">
      <alignment horizontal="center"/>
    </xf>
    <xf numFmtId="0" fontId="0" fillId="0" borderId="64" xfId="0" applyFont="1" applyBorder="1" applyAlignment="1" applyProtection="1">
      <protection hidden="1"/>
    </xf>
    <xf numFmtId="0" fontId="33" fillId="15" borderId="49" xfId="0" applyFont="1" applyFill="1" applyBorder="1" applyAlignment="1" applyProtection="1">
      <alignment horizontal="center"/>
      <protection hidden="1"/>
    </xf>
    <xf numFmtId="0" fontId="33" fillId="15" borderId="50" xfId="0" applyFont="1" applyFill="1" applyBorder="1" applyAlignment="1" applyProtection="1">
      <alignment horizontal="center"/>
      <protection hidden="1"/>
    </xf>
    <xf numFmtId="0" fontId="33" fillId="12" borderId="48" xfId="0" applyFont="1" applyFill="1" applyBorder="1" applyAlignment="1" applyProtection="1">
      <alignment horizontal="center" vertical="center"/>
      <protection hidden="1"/>
    </xf>
    <xf numFmtId="0" fontId="33" fillId="12" borderId="48" xfId="0" applyFont="1" applyFill="1" applyBorder="1" applyAlignment="1" applyProtection="1">
      <alignment horizontal="center"/>
      <protection hidden="1"/>
    </xf>
    <xf numFmtId="0" fontId="45" fillId="5" borderId="48" xfId="25" applyFont="1" applyFill="1" applyBorder="1" applyAlignment="1">
      <alignment horizontal="center"/>
    </xf>
    <xf numFmtId="0" fontId="33" fillId="9" borderId="48" xfId="25" applyFont="1" applyFill="1" applyBorder="1" applyAlignment="1">
      <alignment horizontal="center"/>
    </xf>
    <xf numFmtId="0" fontId="33" fillId="0" borderId="48" xfId="0" applyFont="1" applyFill="1" applyBorder="1" applyAlignment="1" applyProtection="1">
      <alignment horizontal="left" vertical="center" wrapText="1"/>
      <protection hidden="1"/>
    </xf>
    <xf numFmtId="0" fontId="33" fillId="0" borderId="48" xfId="0" applyFont="1" applyBorder="1" applyAlignment="1" applyProtection="1">
      <alignment horizontal="left" vertical="center" wrapText="1"/>
      <protection hidden="1"/>
    </xf>
    <xf numFmtId="0" fontId="33" fillId="4" borderId="13" xfId="0" applyFont="1" applyFill="1" applyBorder="1" applyAlignment="1" applyProtection="1">
      <alignment horizontal="center"/>
      <protection hidden="1"/>
    </xf>
    <xf numFmtId="0" fontId="33" fillId="0" borderId="65" xfId="0" applyFont="1" applyBorder="1" applyAlignment="1" applyProtection="1">
      <alignment horizontal="left" vertical="center"/>
      <protection hidden="1"/>
    </xf>
    <xf numFmtId="0" fontId="33" fillId="0" borderId="10" xfId="0" applyFont="1" applyBorder="1" applyAlignment="1" applyProtection="1">
      <alignment horizontal="left" vertical="center"/>
      <protection hidden="1"/>
    </xf>
    <xf numFmtId="10" fontId="33" fillId="0" borderId="67" xfId="2" applyNumberFormat="1" applyFont="1" applyBorder="1" applyAlignment="1" applyProtection="1">
      <alignment vertical="center"/>
      <protection hidden="1"/>
    </xf>
    <xf numFmtId="10" fontId="33" fillId="0" borderId="10" xfId="2" applyNumberFormat="1" applyFont="1" applyBorder="1" applyAlignment="1" applyProtection="1">
      <alignment vertical="center"/>
      <protection hidden="1"/>
    </xf>
    <xf numFmtId="10" fontId="33" fillId="0" borderId="68" xfId="2" applyNumberFormat="1" applyFont="1" applyBorder="1" applyAlignment="1" applyProtection="1">
      <alignment vertical="center"/>
      <protection hidden="1"/>
    </xf>
    <xf numFmtId="10" fontId="33" fillId="0" borderId="7" xfId="2" applyNumberFormat="1" applyFont="1" applyBorder="1" applyAlignment="1" applyProtection="1">
      <alignment vertical="center"/>
      <protection hidden="1"/>
    </xf>
    <xf numFmtId="0" fontId="33" fillId="0" borderId="6" xfId="0" applyNumberFormat="1" applyFont="1" applyBorder="1" applyAlignment="1" applyProtection="1">
      <alignment horizontal="left" vertical="center"/>
      <protection hidden="1"/>
    </xf>
    <xf numFmtId="0" fontId="33" fillId="0" borderId="6" xfId="0" applyFont="1" applyBorder="1" applyAlignment="1" applyProtection="1">
      <alignment horizontal="left" vertical="center"/>
      <protection hidden="1"/>
    </xf>
    <xf numFmtId="0" fontId="33" fillId="0" borderId="7" xfId="0" applyFont="1" applyBorder="1" applyAlignment="1" applyProtection="1">
      <alignment horizontal="left" vertical="center"/>
      <protection hidden="1"/>
    </xf>
    <xf numFmtId="0" fontId="33" fillId="15" borderId="48" xfId="0" applyFont="1" applyFill="1" applyBorder="1" applyAlignment="1" applyProtection="1">
      <alignment horizontal="center"/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0" fillId="0" borderId="12" xfId="0" applyFont="1" applyBorder="1" applyAlignment="1" applyProtection="1">
      <alignment horizontal="left"/>
      <protection hidden="1"/>
    </xf>
    <xf numFmtId="0" fontId="33" fillId="9" borderId="48" xfId="0" applyFont="1" applyFill="1" applyBorder="1" applyAlignment="1" applyProtection="1">
      <alignment horizontal="center"/>
      <protection hidden="1"/>
    </xf>
    <xf numFmtId="0" fontId="33" fillId="6" borderId="3" xfId="0" applyFont="1" applyFill="1" applyBorder="1" applyAlignment="1" applyProtection="1">
      <alignment horizontal="center" vertical="center"/>
      <protection hidden="1"/>
    </xf>
    <xf numFmtId="0" fontId="33" fillId="0" borderId="48" xfId="0" applyFont="1" applyBorder="1" applyAlignment="1" applyProtection="1">
      <protection hidden="1"/>
    </xf>
    <xf numFmtId="0" fontId="33" fillId="12" borderId="66" xfId="0" applyFont="1" applyFill="1" applyBorder="1" applyAlignment="1" applyProtection="1">
      <alignment horizontal="center" vertical="center"/>
      <protection hidden="1"/>
    </xf>
    <xf numFmtId="0" fontId="33" fillId="12" borderId="4" xfId="0" applyFont="1" applyFill="1" applyBorder="1" applyAlignment="1" applyProtection="1">
      <alignment horizontal="center" vertical="center"/>
      <protection hidden="1"/>
    </xf>
    <xf numFmtId="0" fontId="0" fillId="6" borderId="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33" fillId="5" borderId="0" xfId="0" applyFont="1" applyFill="1" applyBorder="1" applyAlignment="1">
      <alignment horizontal="center" vertical="center"/>
    </xf>
    <xf numFmtId="10" fontId="10" fillId="5" borderId="66" xfId="2" applyNumberFormat="1" applyFont="1" applyFill="1" applyBorder="1" applyAlignment="1" applyProtection="1">
      <alignment horizontal="left" vertical="center" wrapText="1"/>
      <protection hidden="1"/>
    </xf>
    <xf numFmtId="10" fontId="10" fillId="5" borderId="4" xfId="2" applyNumberFormat="1" applyFont="1" applyFill="1" applyBorder="1" applyAlignment="1" applyProtection="1">
      <alignment horizontal="left" vertical="center" wrapText="1"/>
      <protection hidden="1"/>
    </xf>
    <xf numFmtId="10" fontId="10" fillId="5" borderId="8" xfId="2" applyNumberFormat="1" applyFont="1" applyFill="1" applyBorder="1" applyAlignment="1" applyProtection="1">
      <alignment horizontal="left" vertical="center" wrapText="1"/>
      <protection hidden="1"/>
    </xf>
    <xf numFmtId="0" fontId="45" fillId="5" borderId="0" xfId="25" applyFont="1" applyFill="1" applyBorder="1" applyAlignment="1">
      <alignment horizontal="center"/>
    </xf>
    <xf numFmtId="0" fontId="0" fillId="0" borderId="8" xfId="0" applyBorder="1" applyAlignment="1">
      <alignment horizontal="left" vertical="center" wrapText="1"/>
    </xf>
    <xf numFmtId="0" fontId="19" fillId="6" borderId="66" xfId="0" applyFont="1" applyFill="1" applyBorder="1" applyAlignment="1" applyProtection="1">
      <alignment horizontal="center"/>
      <protection hidden="1"/>
    </xf>
    <xf numFmtId="0" fontId="19" fillId="6" borderId="4" xfId="0" applyFont="1" applyFill="1" applyBorder="1" applyAlignment="1" applyProtection="1">
      <alignment horizontal="center"/>
      <protection hidden="1"/>
    </xf>
    <xf numFmtId="0" fontId="19" fillId="6" borderId="8" xfId="0" applyFont="1" applyFill="1" applyBorder="1" applyAlignment="1" applyProtection="1">
      <alignment horizontal="center"/>
      <protection hidden="1"/>
    </xf>
    <xf numFmtId="0" fontId="19" fillId="0" borderId="0" xfId="0" applyFont="1" applyFill="1" applyBorder="1" applyAlignment="1" applyProtection="1">
      <alignment horizontal="center"/>
      <protection hidden="1"/>
    </xf>
    <xf numFmtId="0" fontId="35" fillId="0" borderId="48" xfId="0" applyFont="1" applyBorder="1" applyAlignment="1" applyProtection="1">
      <alignment horizontal="left"/>
      <protection hidden="1"/>
    </xf>
    <xf numFmtId="0" fontId="30" fillId="0" borderId="0" xfId="33" applyFont="1" applyAlignment="1">
      <alignment horizontal="center"/>
    </xf>
    <xf numFmtId="0" fontId="33" fillId="9" borderId="67" xfId="25" applyFont="1" applyFill="1" applyBorder="1" applyAlignment="1">
      <alignment horizontal="center" vertical="center"/>
    </xf>
    <xf numFmtId="0" fontId="33" fillId="9" borderId="10" xfId="25" applyFont="1" applyFill="1" applyBorder="1" applyAlignment="1">
      <alignment horizontal="center" vertical="center"/>
    </xf>
    <xf numFmtId="0" fontId="33" fillId="9" borderId="68" xfId="25" applyFont="1" applyFill="1" applyBorder="1" applyAlignment="1">
      <alignment horizontal="center" vertical="center"/>
    </xf>
    <xf numFmtId="0" fontId="33" fillId="9" borderId="7" xfId="25" applyFont="1" applyFill="1" applyBorder="1" applyAlignment="1">
      <alignment horizontal="center" vertical="center"/>
    </xf>
    <xf numFmtId="14" fontId="33" fillId="0" borderId="66" xfId="25" applyNumberFormat="1" applyFont="1" applyBorder="1" applyAlignment="1">
      <alignment horizontal="center" vertical="center"/>
    </xf>
    <xf numFmtId="14" fontId="33" fillId="0" borderId="4" xfId="25" applyNumberFormat="1" applyFont="1" applyBorder="1" applyAlignment="1">
      <alignment horizontal="center" vertical="center"/>
    </xf>
    <xf numFmtId="14" fontId="33" fillId="0" borderId="8" xfId="25" applyNumberFormat="1" applyFont="1" applyBorder="1" applyAlignment="1">
      <alignment horizontal="center" vertical="center"/>
    </xf>
    <xf numFmtId="0" fontId="33" fillId="5" borderId="66" xfId="0" applyFont="1" applyFill="1" applyBorder="1" applyAlignment="1">
      <alignment horizontal="center" vertical="center"/>
    </xf>
    <xf numFmtId="0" fontId="33" fillId="5" borderId="4" xfId="0" applyFont="1" applyFill="1" applyBorder="1" applyAlignment="1">
      <alignment horizontal="center" vertical="center"/>
    </xf>
    <xf numFmtId="0" fontId="33" fillId="5" borderId="8" xfId="0" applyFont="1" applyFill="1" applyBorder="1" applyAlignment="1">
      <alignment horizontal="center" vertical="center"/>
    </xf>
    <xf numFmtId="0" fontId="33" fillId="6" borderId="66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6" borderId="8" xfId="0" applyFont="1" applyFill="1" applyBorder="1" applyAlignment="1">
      <alignment horizontal="center" vertical="center"/>
    </xf>
    <xf numFmtId="0" fontId="33" fillId="4" borderId="66" xfId="25" applyFont="1" applyFill="1" applyBorder="1" applyAlignment="1">
      <alignment horizontal="center" vertical="center"/>
    </xf>
    <xf numFmtId="0" fontId="33" fillId="4" borderId="4" xfId="25" applyFont="1" applyFill="1" applyBorder="1" applyAlignment="1">
      <alignment horizontal="center" vertical="center"/>
    </xf>
    <xf numFmtId="0" fontId="33" fillId="4" borderId="8" xfId="25" applyFont="1" applyFill="1" applyBorder="1" applyAlignment="1">
      <alignment horizontal="center" vertical="center"/>
    </xf>
    <xf numFmtId="0" fontId="18" fillId="6" borderId="66" xfId="35" applyFont="1" applyFill="1" applyBorder="1" applyAlignment="1">
      <alignment horizontal="center" vertical="center"/>
    </xf>
    <xf numFmtId="0" fontId="18" fillId="6" borderId="4" xfId="35" applyFont="1" applyFill="1" applyBorder="1" applyAlignment="1">
      <alignment horizontal="center" vertical="center"/>
    </xf>
    <xf numFmtId="0" fontId="18" fillId="6" borderId="8" xfId="35" applyFont="1" applyFill="1" applyBorder="1" applyAlignment="1">
      <alignment horizontal="center" vertical="center"/>
    </xf>
    <xf numFmtId="0" fontId="33" fillId="0" borderId="66" xfId="25" applyFont="1" applyBorder="1" applyAlignment="1">
      <alignment horizontal="center" vertical="center"/>
    </xf>
    <xf numFmtId="0" fontId="33" fillId="0" borderId="4" xfId="25" applyFont="1" applyBorder="1" applyAlignment="1">
      <alignment horizontal="center" vertical="center"/>
    </xf>
    <xf numFmtId="0" fontId="33" fillId="0" borderId="8" xfId="25" applyFont="1" applyBorder="1" applyAlignment="1">
      <alignment horizontal="center" vertical="center"/>
    </xf>
    <xf numFmtId="0" fontId="33" fillId="6" borderId="66" xfId="25" applyFont="1" applyFill="1" applyBorder="1" applyAlignment="1">
      <alignment horizontal="center" vertical="center"/>
    </xf>
    <xf numFmtId="0" fontId="33" fillId="6" borderId="4" xfId="25" applyFont="1" applyFill="1" applyBorder="1" applyAlignment="1">
      <alignment horizontal="center" vertical="center"/>
    </xf>
    <xf numFmtId="0" fontId="33" fillId="6" borderId="8" xfId="25" applyFont="1" applyFill="1" applyBorder="1" applyAlignment="1">
      <alignment horizontal="center" vertical="center"/>
    </xf>
    <xf numFmtId="0" fontId="33" fillId="6" borderId="66" xfId="25" applyFont="1" applyFill="1" applyBorder="1" applyAlignment="1">
      <alignment horizontal="left" vertical="center"/>
    </xf>
    <xf numFmtId="0" fontId="33" fillId="6" borderId="4" xfId="25" applyFont="1" applyFill="1" applyBorder="1" applyAlignment="1">
      <alignment horizontal="left" vertical="center"/>
    </xf>
    <xf numFmtId="0" fontId="33" fillId="6" borderId="8" xfId="25" applyFont="1" applyFill="1" applyBorder="1" applyAlignment="1">
      <alignment horizontal="left" vertical="center"/>
    </xf>
    <xf numFmtId="0" fontId="0" fillId="5" borderId="4" xfId="25" applyFont="1" applyFill="1" applyBorder="1" applyAlignment="1">
      <alignment horizontal="left" vertical="center"/>
    </xf>
    <xf numFmtId="0" fontId="0" fillId="5" borderId="8" xfId="25" applyFont="1" applyFill="1" applyBorder="1" applyAlignment="1">
      <alignment horizontal="left" vertical="center"/>
    </xf>
    <xf numFmtId="171" fontId="33" fillId="5" borderId="66" xfId="25" applyNumberFormat="1" applyFont="1" applyFill="1" applyBorder="1" applyAlignment="1">
      <alignment horizontal="center" vertical="center" wrapText="1"/>
    </xf>
    <xf numFmtId="171" fontId="33" fillId="5" borderId="4" xfId="25" applyNumberFormat="1" applyFont="1" applyFill="1" applyBorder="1" applyAlignment="1">
      <alignment horizontal="center" vertical="center" wrapText="1"/>
    </xf>
    <xf numFmtId="171" fontId="33" fillId="5" borderId="8" xfId="25" applyNumberFormat="1" applyFont="1" applyFill="1" applyBorder="1" applyAlignment="1">
      <alignment horizontal="center" vertical="center" wrapText="1"/>
    </xf>
    <xf numFmtId="0" fontId="33" fillId="5" borderId="66" xfId="25" applyFont="1" applyFill="1" applyBorder="1" applyAlignment="1">
      <alignment horizontal="center" vertical="center"/>
    </xf>
    <xf numFmtId="0" fontId="33" fillId="5" borderId="4" xfId="25" applyFont="1" applyFill="1" applyBorder="1" applyAlignment="1">
      <alignment horizontal="center" vertical="center"/>
    </xf>
    <xf numFmtId="0" fontId="33" fillId="5" borderId="8" xfId="25" applyFont="1" applyFill="1" applyBorder="1" applyAlignment="1">
      <alignment horizontal="center" vertical="center"/>
    </xf>
    <xf numFmtId="0" fontId="33" fillId="12" borderId="8" xfId="25" applyFont="1" applyFill="1" applyBorder="1" applyAlignment="1">
      <alignment horizontal="center" vertical="center"/>
    </xf>
    <xf numFmtId="0" fontId="33" fillId="7" borderId="66" xfId="0" applyFont="1" applyFill="1" applyBorder="1" applyAlignment="1" applyProtection="1">
      <alignment horizontal="center"/>
      <protection hidden="1"/>
    </xf>
    <xf numFmtId="0" fontId="33" fillId="7" borderId="4" xfId="0" applyFont="1" applyFill="1" applyBorder="1" applyAlignment="1" applyProtection="1">
      <alignment horizontal="center"/>
      <protection hidden="1"/>
    </xf>
    <xf numFmtId="0" fontId="33" fillId="7" borderId="8" xfId="0" applyFont="1" applyFill="1" applyBorder="1" applyAlignment="1" applyProtection="1">
      <alignment horizontal="center"/>
      <protection hidden="1"/>
    </xf>
    <xf numFmtId="0" fontId="33" fillId="6" borderId="66" xfId="0" applyFont="1" applyFill="1" applyBorder="1" applyAlignment="1" applyProtection="1">
      <alignment horizontal="center" vertical="center" wrapText="1"/>
      <protection hidden="1"/>
    </xf>
    <xf numFmtId="0" fontId="33" fillId="6" borderId="4" xfId="0" applyFont="1" applyFill="1" applyBorder="1" applyAlignment="1" applyProtection="1">
      <alignment horizontal="center" vertical="center" wrapText="1"/>
      <protection hidden="1"/>
    </xf>
    <xf numFmtId="0" fontId="33" fillId="6" borderId="8" xfId="0" applyFont="1" applyFill="1" applyBorder="1" applyAlignment="1" applyProtection="1">
      <alignment horizontal="center" vertical="center" wrapText="1"/>
      <protection hidden="1"/>
    </xf>
    <xf numFmtId="0" fontId="33" fillId="6" borderId="66" xfId="0" applyFont="1" applyFill="1" applyBorder="1" applyAlignment="1" applyProtection="1">
      <alignment horizontal="center" wrapText="1"/>
      <protection hidden="1"/>
    </xf>
    <xf numFmtId="0" fontId="33" fillId="6" borderId="4" xfId="0" applyFont="1" applyFill="1" applyBorder="1" applyAlignment="1" applyProtection="1">
      <alignment horizontal="center" wrapText="1"/>
      <protection hidden="1"/>
    </xf>
    <xf numFmtId="0" fontId="33" fillId="6" borderId="8" xfId="0" applyFont="1" applyFill="1" applyBorder="1" applyAlignment="1" applyProtection="1">
      <alignment horizontal="center" wrapText="1"/>
      <protection hidden="1"/>
    </xf>
    <xf numFmtId="171" fontId="0" fillId="0" borderId="66" xfId="0" applyNumberFormat="1" applyFont="1" applyBorder="1" applyAlignment="1" applyProtection="1">
      <alignment horizontal="center" vertical="center" wrapText="1"/>
      <protection hidden="1"/>
    </xf>
    <xf numFmtId="171" fontId="0" fillId="0" borderId="4" xfId="0" applyNumberFormat="1" applyFont="1" applyBorder="1" applyAlignment="1" applyProtection="1">
      <alignment horizontal="center" vertical="center" wrapText="1"/>
      <protection hidden="1"/>
    </xf>
    <xf numFmtId="171" fontId="0" fillId="0" borderId="8" xfId="0" applyNumberFormat="1" applyFont="1" applyBorder="1" applyAlignment="1" applyProtection="1">
      <alignment horizontal="center" vertical="center" wrapText="1"/>
      <protection hidden="1"/>
    </xf>
    <xf numFmtId="0" fontId="33" fillId="0" borderId="66" xfId="0" applyFont="1" applyBorder="1" applyAlignment="1" applyProtection="1">
      <alignment horizontal="center" vertical="center" wrapText="1"/>
      <protection hidden="1"/>
    </xf>
    <xf numFmtId="0" fontId="33" fillId="0" borderId="4" xfId="0" applyFont="1" applyBorder="1" applyAlignment="1" applyProtection="1">
      <alignment horizontal="center" vertical="center" wrapText="1"/>
      <protection hidden="1"/>
    </xf>
    <xf numFmtId="0" fontId="33" fillId="0" borderId="8" xfId="0" applyFont="1" applyBorder="1" applyAlignment="1" applyProtection="1">
      <alignment horizontal="center" vertical="center" wrapText="1"/>
      <protection hidden="1"/>
    </xf>
    <xf numFmtId="168" fontId="33" fillId="5" borderId="66" xfId="1" applyNumberFormat="1" applyFont="1" applyFill="1" applyBorder="1" applyAlignment="1">
      <alignment horizontal="center" vertical="center"/>
    </xf>
    <xf numFmtId="168" fontId="33" fillId="5" borderId="4" xfId="1" applyNumberFormat="1" applyFont="1" applyFill="1" applyBorder="1" applyAlignment="1">
      <alignment horizontal="center" vertical="center"/>
    </xf>
    <xf numFmtId="168" fontId="33" fillId="5" borderId="8" xfId="1" applyNumberFormat="1" applyFont="1" applyFill="1" applyBorder="1" applyAlignment="1">
      <alignment horizontal="center" vertical="center"/>
    </xf>
    <xf numFmtId="14" fontId="33" fillId="5" borderId="66" xfId="25" applyNumberFormat="1" applyFont="1" applyFill="1" applyBorder="1" applyAlignment="1">
      <alignment horizontal="center" vertical="center"/>
    </xf>
    <xf numFmtId="14" fontId="33" fillId="5" borderId="4" xfId="25" applyNumberFormat="1" applyFont="1" applyFill="1" applyBorder="1" applyAlignment="1">
      <alignment horizontal="center" vertical="center"/>
    </xf>
    <xf numFmtId="14" fontId="33" fillId="5" borderId="8" xfId="25" applyNumberFormat="1" applyFont="1" applyFill="1" applyBorder="1" applyAlignment="1">
      <alignment horizontal="center" vertical="center"/>
    </xf>
    <xf numFmtId="0" fontId="0" fillId="0" borderId="4" xfId="0" applyFont="1" applyBorder="1" applyAlignment="1" applyProtection="1">
      <alignment horizontal="center"/>
      <protection hidden="1"/>
    </xf>
    <xf numFmtId="0" fontId="0" fillId="0" borderId="8" xfId="0" applyFont="1" applyBorder="1" applyAlignment="1" applyProtection="1">
      <alignment horizontal="center"/>
      <protection hidden="1"/>
    </xf>
    <xf numFmtId="0" fontId="33" fillId="0" borderId="66" xfId="0" applyFont="1" applyBorder="1" applyAlignment="1" applyProtection="1">
      <alignment horizontal="center"/>
      <protection hidden="1"/>
    </xf>
    <xf numFmtId="0" fontId="33" fillId="0" borderId="4" xfId="0" applyFont="1" applyBorder="1" applyAlignment="1" applyProtection="1">
      <alignment horizontal="center"/>
      <protection hidden="1"/>
    </xf>
    <xf numFmtId="0" fontId="33" fillId="0" borderId="8" xfId="0" applyFont="1" applyBorder="1" applyAlignment="1" applyProtection="1">
      <alignment horizontal="center"/>
      <protection hidden="1"/>
    </xf>
    <xf numFmtId="0" fontId="0" fillId="0" borderId="66" xfId="0" applyFont="1" applyBorder="1" applyAlignment="1" applyProtection="1">
      <alignment horizontal="center"/>
      <protection hidden="1"/>
    </xf>
    <xf numFmtId="0" fontId="33" fillId="0" borderId="66" xfId="0" applyFont="1" applyFill="1" applyBorder="1" applyAlignment="1" applyProtection="1">
      <alignment horizontal="left" vertical="center" wrapText="1"/>
      <protection hidden="1"/>
    </xf>
    <xf numFmtId="0" fontId="33" fillId="0" borderId="4" xfId="0" applyFont="1" applyFill="1" applyBorder="1" applyAlignment="1" applyProtection="1">
      <alignment horizontal="left" vertical="center" wrapText="1"/>
      <protection hidden="1"/>
    </xf>
    <xf numFmtId="0" fontId="33" fillId="0" borderId="8" xfId="0" applyFont="1" applyFill="1" applyBorder="1" applyAlignment="1" applyProtection="1">
      <alignment horizontal="left" vertical="center" wrapText="1"/>
      <protection hidden="1"/>
    </xf>
    <xf numFmtId="0" fontId="33" fillId="0" borderId="66" xfId="0" applyFont="1" applyBorder="1" applyAlignment="1" applyProtection="1">
      <alignment horizontal="left" vertical="center" wrapText="1"/>
      <protection hidden="1"/>
    </xf>
    <xf numFmtId="0" fontId="33" fillId="0" borderId="4" xfId="0" applyFont="1" applyBorder="1" applyAlignment="1" applyProtection="1">
      <alignment horizontal="left" vertical="center" wrapText="1"/>
      <protection hidden="1"/>
    </xf>
    <xf numFmtId="0" fontId="33" fillId="0" borderId="8" xfId="0" applyFont="1" applyBorder="1" applyAlignment="1" applyProtection="1">
      <alignment horizontal="left" vertical="center" wrapText="1"/>
      <protection hidden="1"/>
    </xf>
    <xf numFmtId="0" fontId="33" fillId="5" borderId="66" xfId="0" applyFont="1" applyFill="1" applyBorder="1" applyAlignment="1" applyProtection="1">
      <alignment horizontal="center"/>
      <protection hidden="1"/>
    </xf>
    <xf numFmtId="0" fontId="33" fillId="5" borderId="4" xfId="0" applyFont="1" applyFill="1" applyBorder="1" applyAlignment="1" applyProtection="1">
      <alignment horizontal="center"/>
      <protection hidden="1"/>
    </xf>
    <xf numFmtId="0" fontId="33" fillId="5" borderId="8" xfId="0" applyFont="1" applyFill="1" applyBorder="1" applyAlignment="1" applyProtection="1">
      <alignment horizontal="center"/>
      <protection hidden="1"/>
    </xf>
    <xf numFmtId="0" fontId="0" fillId="5" borderId="64" xfId="0" applyFont="1" applyFill="1" applyBorder="1" applyAlignment="1" applyProtection="1">
      <alignment horizontal="center" vertical="center"/>
      <protection hidden="1"/>
    </xf>
    <xf numFmtId="0" fontId="0" fillId="5" borderId="3" xfId="0" applyFont="1" applyFill="1" applyBorder="1" applyAlignment="1" applyProtection="1">
      <alignment horizontal="center" vertical="center"/>
      <protection hidden="1"/>
    </xf>
    <xf numFmtId="10" fontId="33" fillId="5" borderId="67" xfId="2" applyNumberFormat="1" applyFont="1" applyFill="1" applyBorder="1" applyAlignment="1" applyProtection="1">
      <alignment horizontal="center" vertical="center" wrapText="1"/>
      <protection hidden="1"/>
    </xf>
    <xf numFmtId="10" fontId="33" fillId="5" borderId="65" xfId="2" applyNumberFormat="1" applyFont="1" applyFill="1" applyBorder="1" applyAlignment="1" applyProtection="1">
      <alignment horizontal="center" vertical="center" wrapText="1"/>
      <protection hidden="1"/>
    </xf>
    <xf numFmtId="10" fontId="33" fillId="5" borderId="10" xfId="2" applyNumberFormat="1" applyFont="1" applyFill="1" applyBorder="1" applyAlignment="1" applyProtection="1">
      <alignment horizontal="center" vertical="center" wrapText="1"/>
      <protection hidden="1"/>
    </xf>
    <xf numFmtId="10" fontId="33" fillId="5" borderId="68" xfId="2" applyNumberFormat="1" applyFont="1" applyFill="1" applyBorder="1" applyAlignment="1" applyProtection="1">
      <alignment horizontal="center" vertical="center" wrapText="1"/>
      <protection hidden="1"/>
    </xf>
    <xf numFmtId="10" fontId="33" fillId="5" borderId="6" xfId="2" applyNumberFormat="1" applyFont="1" applyFill="1" applyBorder="1" applyAlignment="1" applyProtection="1">
      <alignment horizontal="center" vertical="center" wrapText="1"/>
      <protection hidden="1"/>
    </xf>
    <xf numFmtId="10" fontId="33" fillId="5" borderId="7" xfId="2" applyNumberFormat="1" applyFont="1" applyFill="1" applyBorder="1" applyAlignment="1" applyProtection="1">
      <alignment horizontal="center" vertical="center" wrapText="1"/>
      <protection hidden="1"/>
    </xf>
    <xf numFmtId="166" fontId="0" fillId="5" borderId="64" xfId="1" applyFont="1" applyFill="1" applyBorder="1" applyAlignment="1" applyProtection="1">
      <alignment vertical="center" wrapText="1"/>
      <protection hidden="1"/>
    </xf>
    <xf numFmtId="166" fontId="0" fillId="5" borderId="3" xfId="1" applyFont="1" applyFill="1" applyBorder="1" applyAlignment="1" applyProtection="1">
      <alignment vertical="center" wrapText="1"/>
      <protection hidden="1"/>
    </xf>
    <xf numFmtId="166" fontId="0" fillId="5" borderId="64" xfId="1" applyFont="1" applyFill="1" applyBorder="1" applyAlignment="1" applyProtection="1">
      <alignment vertical="center"/>
      <protection hidden="1"/>
    </xf>
    <xf numFmtId="166" fontId="0" fillId="5" borderId="3" xfId="1" applyFont="1" applyFill="1" applyBorder="1" applyAlignment="1" applyProtection="1">
      <alignment vertical="center"/>
      <protection hidden="1"/>
    </xf>
    <xf numFmtId="0" fontId="33" fillId="4" borderId="66" xfId="0" applyFont="1" applyFill="1" applyBorder="1" applyAlignment="1" applyProtection="1">
      <alignment horizontal="center"/>
      <protection hidden="1"/>
    </xf>
    <xf numFmtId="0" fontId="33" fillId="4" borderId="4" xfId="0" applyFont="1" applyFill="1" applyBorder="1" applyAlignment="1" applyProtection="1">
      <alignment horizontal="center"/>
      <protection hidden="1"/>
    </xf>
    <xf numFmtId="0" fontId="33" fillId="4" borderId="8" xfId="0" applyFont="1" applyFill="1" applyBorder="1" applyAlignment="1" applyProtection="1">
      <alignment horizontal="center"/>
      <protection hidden="1"/>
    </xf>
    <xf numFmtId="0" fontId="0" fillId="0" borderId="66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0" fillId="0" borderId="8" xfId="0" applyFont="1" applyBorder="1" applyAlignment="1" applyProtection="1">
      <protection hidden="1"/>
    </xf>
    <xf numFmtId="10" fontId="0" fillId="5" borderId="66" xfId="2" applyNumberFormat="1" applyFont="1" applyFill="1" applyBorder="1" applyAlignment="1" applyProtection="1">
      <alignment vertical="center" wrapText="1"/>
      <protection hidden="1"/>
    </xf>
    <xf numFmtId="10" fontId="0" fillId="5" borderId="4" xfId="2" applyNumberFormat="1" applyFont="1" applyFill="1" applyBorder="1" applyAlignment="1" applyProtection="1">
      <alignment vertical="center" wrapText="1"/>
      <protection hidden="1"/>
    </xf>
    <xf numFmtId="10" fontId="0" fillId="5" borderId="8" xfId="2" applyNumberFormat="1" applyFont="1" applyFill="1" applyBorder="1" applyAlignment="1" applyProtection="1">
      <alignment vertical="center" wrapText="1"/>
      <protection hidden="1"/>
    </xf>
    <xf numFmtId="10" fontId="0" fillId="5" borderId="66" xfId="2" applyNumberFormat="1" applyFont="1" applyFill="1" applyBorder="1" applyAlignment="1" applyProtection="1">
      <protection hidden="1"/>
    </xf>
    <xf numFmtId="10" fontId="0" fillId="5" borderId="4" xfId="2" applyNumberFormat="1" applyFont="1" applyFill="1" applyBorder="1" applyAlignment="1" applyProtection="1">
      <protection hidden="1"/>
    </xf>
    <xf numFmtId="10" fontId="0" fillId="5" borderId="8" xfId="2" applyNumberFormat="1" applyFont="1" applyFill="1" applyBorder="1" applyAlignment="1" applyProtection="1">
      <protection hidden="1"/>
    </xf>
    <xf numFmtId="0" fontId="0" fillId="5" borderId="66" xfId="0" applyFont="1" applyFill="1" applyBorder="1" applyAlignment="1" applyProtection="1">
      <alignment horizontal="left"/>
      <protection hidden="1"/>
    </xf>
    <xf numFmtId="0" fontId="0" fillId="5" borderId="4" xfId="0" applyFont="1" applyFill="1" applyBorder="1" applyAlignment="1" applyProtection="1">
      <alignment horizontal="left"/>
      <protection hidden="1"/>
    </xf>
    <xf numFmtId="0" fontId="0" fillId="5" borderId="8" xfId="0" applyFont="1" applyFill="1" applyBorder="1" applyAlignment="1" applyProtection="1">
      <alignment horizontal="left"/>
      <protection hidden="1"/>
    </xf>
    <xf numFmtId="0" fontId="0" fillId="0" borderId="66" xfId="0" applyFont="1" applyFill="1" applyBorder="1" applyAlignment="1" applyProtection="1">
      <protection hidden="1"/>
    </xf>
    <xf numFmtId="0" fontId="0" fillId="0" borderId="4" xfId="0" applyFont="1" applyFill="1" applyBorder="1" applyAlignment="1" applyProtection="1">
      <protection hidden="1"/>
    </xf>
    <xf numFmtId="0" fontId="0" fillId="0" borderId="8" xfId="0" applyFont="1" applyFill="1" applyBorder="1" applyAlignment="1" applyProtection="1">
      <protection hidden="1"/>
    </xf>
    <xf numFmtId="0" fontId="33" fillId="15" borderId="66" xfId="0" applyFont="1" applyFill="1" applyBorder="1" applyAlignment="1" applyProtection="1">
      <alignment horizontal="center"/>
      <protection hidden="1"/>
    </xf>
    <xf numFmtId="0" fontId="33" fillId="15" borderId="4" xfId="0" applyFont="1" applyFill="1" applyBorder="1" applyAlignment="1" applyProtection="1">
      <alignment horizontal="center"/>
      <protection hidden="1"/>
    </xf>
    <xf numFmtId="0" fontId="33" fillId="15" borderId="8" xfId="0" applyFont="1" applyFill="1" applyBorder="1" applyAlignment="1" applyProtection="1">
      <alignment horizontal="center"/>
      <protection hidden="1"/>
    </xf>
    <xf numFmtId="0" fontId="33" fillId="9" borderId="66" xfId="0" applyFont="1" applyFill="1" applyBorder="1" applyAlignment="1" applyProtection="1">
      <alignment horizontal="center"/>
      <protection hidden="1"/>
    </xf>
    <xf numFmtId="0" fontId="33" fillId="9" borderId="4" xfId="0" applyFont="1" applyFill="1" applyBorder="1" applyAlignment="1" applyProtection="1">
      <alignment horizontal="center"/>
      <protection hidden="1"/>
    </xf>
    <xf numFmtId="0" fontId="33" fillId="9" borderId="8" xfId="0" applyFont="1" applyFill="1" applyBorder="1" applyAlignment="1" applyProtection="1">
      <alignment horizontal="center"/>
      <protection hidden="1"/>
    </xf>
    <xf numFmtId="0" fontId="33" fillId="6" borderId="66" xfId="0" applyFont="1" applyFill="1" applyBorder="1" applyAlignment="1" applyProtection="1">
      <alignment horizontal="center" vertical="center"/>
      <protection hidden="1"/>
    </xf>
    <xf numFmtId="0" fontId="33" fillId="6" borderId="4" xfId="0" applyFont="1" applyFill="1" applyBorder="1" applyAlignment="1" applyProtection="1">
      <alignment horizontal="center" vertical="center"/>
      <protection hidden="1"/>
    </xf>
    <xf numFmtId="0" fontId="33" fillId="6" borderId="8" xfId="0" applyFont="1" applyFill="1" applyBorder="1" applyAlignment="1" applyProtection="1">
      <alignment horizontal="center" vertical="center"/>
      <protection hidden="1"/>
    </xf>
    <xf numFmtId="0" fontId="33" fillId="0" borderId="66" xfId="0" applyFont="1" applyBorder="1" applyAlignment="1" applyProtection="1">
      <protection hidden="1"/>
    </xf>
    <xf numFmtId="0" fontId="33" fillId="0" borderId="4" xfId="0" applyFont="1" applyBorder="1" applyAlignment="1" applyProtection="1">
      <protection hidden="1"/>
    </xf>
    <xf numFmtId="0" fontId="33" fillId="0" borderId="8" xfId="0" applyFont="1" applyBorder="1" applyAlignment="1" applyProtection="1">
      <protection hidden="1"/>
    </xf>
    <xf numFmtId="0" fontId="33" fillId="12" borderId="8" xfId="0" applyFont="1" applyFill="1" applyBorder="1" applyAlignment="1" applyProtection="1">
      <alignment horizontal="center" vertical="center"/>
      <protection hidden="1"/>
    </xf>
    <xf numFmtId="0" fontId="33" fillId="12" borderId="66" xfId="0" applyFont="1" applyFill="1" applyBorder="1" applyAlignment="1" applyProtection="1">
      <alignment horizontal="center"/>
      <protection hidden="1"/>
    </xf>
    <xf numFmtId="0" fontId="33" fillId="12" borderId="4" xfId="0" applyFont="1" applyFill="1" applyBorder="1" applyAlignment="1" applyProtection="1">
      <alignment horizontal="center"/>
      <protection hidden="1"/>
    </xf>
    <xf numFmtId="0" fontId="33" fillId="12" borderId="8" xfId="0" applyFont="1" applyFill="1" applyBorder="1" applyAlignment="1" applyProtection="1">
      <alignment horizontal="center"/>
      <protection hidden="1"/>
    </xf>
    <xf numFmtId="0" fontId="33" fillId="0" borderId="7" xfId="0" applyNumberFormat="1" applyFont="1" applyBorder="1" applyAlignment="1" applyProtection="1">
      <alignment horizontal="left" vertical="center"/>
      <protection hidden="1"/>
    </xf>
    <xf numFmtId="0" fontId="0" fillId="0" borderId="79" xfId="0" applyFont="1" applyBorder="1" applyAlignment="1" applyProtection="1">
      <protection hidden="1"/>
    </xf>
    <xf numFmtId="0" fontId="0" fillId="0" borderId="17" xfId="0" applyFont="1" applyBorder="1" applyAlignment="1" applyProtection="1">
      <protection hidden="1"/>
    </xf>
    <xf numFmtId="0" fontId="0" fillId="0" borderId="18" xfId="0" applyFont="1" applyBorder="1" applyAlignment="1" applyProtection="1">
      <protection hidden="1"/>
    </xf>
    <xf numFmtId="0" fontId="33" fillId="15" borderId="76" xfId="0" applyFont="1" applyFill="1" applyBorder="1" applyAlignment="1" applyProtection="1">
      <alignment horizontal="center"/>
      <protection hidden="1"/>
    </xf>
    <xf numFmtId="0" fontId="33" fillId="15" borderId="77" xfId="0" applyFont="1" applyFill="1" applyBorder="1" applyAlignment="1" applyProtection="1">
      <alignment horizontal="center"/>
      <protection hidden="1"/>
    </xf>
    <xf numFmtId="0" fontId="33" fillId="15" borderId="78" xfId="0" applyFont="1" applyFill="1" applyBorder="1" applyAlignment="1" applyProtection="1">
      <alignment horizontal="center"/>
      <protection hidden="1"/>
    </xf>
    <xf numFmtId="0" fontId="18" fillId="6" borderId="48" xfId="35" applyFont="1" applyFill="1" applyBorder="1" applyAlignment="1">
      <alignment horizontal="center" vertical="center"/>
    </xf>
    <xf numFmtId="0" fontId="0" fillId="5" borderId="48" xfId="0" applyFont="1" applyFill="1" applyBorder="1" applyAlignment="1" applyProtection="1">
      <alignment horizontal="center" vertical="center"/>
      <protection hidden="1"/>
    </xf>
    <xf numFmtId="10" fontId="33" fillId="5" borderId="48" xfId="2" applyNumberFormat="1" applyFont="1" applyFill="1" applyBorder="1" applyAlignment="1" applyProtection="1">
      <alignment horizontal="center" vertical="center" wrapText="1"/>
      <protection hidden="1"/>
    </xf>
    <xf numFmtId="166" fontId="0" fillId="5" borderId="48" xfId="1" applyFont="1" applyFill="1" applyBorder="1" applyAlignment="1" applyProtection="1">
      <alignment vertical="center" wrapText="1"/>
      <protection hidden="1"/>
    </xf>
    <xf numFmtId="166" fontId="0" fillId="5" borderId="48" xfId="1" applyFont="1" applyFill="1" applyBorder="1" applyAlignment="1" applyProtection="1">
      <alignment vertical="center"/>
      <protection hidden="1"/>
    </xf>
    <xf numFmtId="10" fontId="0" fillId="5" borderId="48" xfId="2" applyNumberFormat="1" applyFont="1" applyFill="1" applyBorder="1" applyAlignment="1" applyProtection="1">
      <alignment vertical="center" wrapText="1"/>
      <protection hidden="1"/>
    </xf>
    <xf numFmtId="10" fontId="0" fillId="5" borderId="48" xfId="2" applyNumberFormat="1" applyFont="1" applyFill="1" applyBorder="1" applyAlignment="1" applyProtection="1">
      <protection hidden="1"/>
    </xf>
    <xf numFmtId="0" fontId="0" fillId="5" borderId="48" xfId="0" applyFont="1" applyFill="1" applyBorder="1" applyAlignment="1" applyProtection="1">
      <alignment horizontal="left"/>
      <protection hidden="1"/>
    </xf>
    <xf numFmtId="0" fontId="33" fillId="12" borderId="48" xfId="25" applyFont="1" applyFill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33" fillId="0" borderId="11" xfId="25" applyFont="1" applyBorder="1" applyAlignment="1">
      <alignment horizontal="center" vertical="center"/>
    </xf>
    <xf numFmtId="0" fontId="33" fillId="0" borderId="0" xfId="25" applyFont="1" applyBorder="1" applyAlignment="1">
      <alignment horizontal="center" vertical="center"/>
    </xf>
    <xf numFmtId="0" fontId="33" fillId="0" borderId="12" xfId="25" applyFont="1" applyBorder="1" applyAlignment="1">
      <alignment horizontal="center" vertical="center"/>
    </xf>
    <xf numFmtId="0" fontId="33" fillId="0" borderId="48" xfId="0" applyFont="1" applyBorder="1" applyAlignment="1" applyProtection="1">
      <alignment horizontal="center" wrapText="1"/>
      <protection hidden="1"/>
    </xf>
    <xf numFmtId="10" fontId="33" fillId="5" borderId="48" xfId="2" applyNumberFormat="1" applyFont="1" applyFill="1" applyBorder="1" applyAlignment="1" applyProtection="1">
      <alignment vertical="center" wrapText="1"/>
      <protection hidden="1"/>
    </xf>
    <xf numFmtId="0" fontId="33" fillId="0" borderId="6" xfId="0" applyFont="1" applyBorder="1" applyAlignment="1" applyProtection="1">
      <alignment horizontal="left"/>
      <protection hidden="1"/>
    </xf>
    <xf numFmtId="0" fontId="33" fillId="0" borderId="7" xfId="0" applyFont="1" applyBorder="1" applyAlignment="1" applyProtection="1">
      <alignment horizontal="left"/>
      <protection hidden="1"/>
    </xf>
    <xf numFmtId="0" fontId="33" fillId="0" borderId="65" xfId="0" applyFont="1" applyBorder="1" applyAlignment="1" applyProtection="1">
      <alignment horizontal="left"/>
      <protection hidden="1"/>
    </xf>
    <xf numFmtId="0" fontId="33" fillId="0" borderId="10" xfId="0" applyFont="1" applyBorder="1" applyAlignment="1" applyProtection="1">
      <alignment horizontal="left"/>
      <protection hidden="1"/>
    </xf>
    <xf numFmtId="10" fontId="33" fillId="0" borderId="67" xfId="2" applyNumberFormat="1" applyFont="1" applyBorder="1" applyAlignment="1" applyProtection="1">
      <protection hidden="1"/>
    </xf>
    <xf numFmtId="10" fontId="33" fillId="0" borderId="10" xfId="2" applyNumberFormat="1" applyFont="1" applyBorder="1" applyAlignment="1" applyProtection="1">
      <protection hidden="1"/>
    </xf>
    <xf numFmtId="10" fontId="33" fillId="0" borderId="68" xfId="2" applyNumberFormat="1" applyFont="1" applyBorder="1" applyAlignment="1" applyProtection="1">
      <protection hidden="1"/>
    </xf>
    <xf numFmtId="10" fontId="33" fillId="0" borderId="7" xfId="2" applyNumberFormat="1" applyFont="1" applyBorder="1" applyAlignment="1" applyProtection="1">
      <protection hidden="1"/>
    </xf>
    <xf numFmtId="0" fontId="33" fillId="0" borderId="6" xfId="0" applyNumberFormat="1" applyFont="1" applyBorder="1" applyAlignment="1" applyProtection="1">
      <alignment horizontal="left"/>
      <protection hidden="1"/>
    </xf>
    <xf numFmtId="0" fontId="33" fillId="12" borderId="48" xfId="0" applyFont="1" applyFill="1" applyBorder="1" applyAlignment="1" applyProtection="1">
      <protection hidden="1"/>
    </xf>
    <xf numFmtId="171" fontId="0" fillId="0" borderId="48" xfId="0" applyNumberFormat="1" applyFont="1" applyBorder="1" applyAlignment="1" applyProtection="1">
      <alignment horizontal="center" wrapText="1"/>
      <protection hidden="1"/>
    </xf>
    <xf numFmtId="0" fontId="0" fillId="0" borderId="48" xfId="0" applyFont="1" applyBorder="1" applyAlignment="1" applyProtection="1">
      <alignment horizontal="center" wrapText="1"/>
      <protection hidden="1"/>
    </xf>
    <xf numFmtId="0" fontId="33" fillId="3" borderId="48" xfId="0" applyFont="1" applyFill="1" applyBorder="1" applyAlignment="1" applyProtection="1">
      <alignment horizontal="center"/>
      <protection hidden="1"/>
    </xf>
    <xf numFmtId="0" fontId="33" fillId="12" borderId="3" xfId="0" applyFont="1" applyFill="1" applyBorder="1" applyAlignment="1" applyProtection="1">
      <alignment horizontal="center"/>
      <protection hidden="1"/>
    </xf>
    <xf numFmtId="0" fontId="0" fillId="12" borderId="48" xfId="0" applyFont="1" applyFill="1" applyBorder="1" applyAlignment="1" applyProtection="1">
      <alignment horizontal="left"/>
      <protection hidden="1"/>
    </xf>
    <xf numFmtId="0" fontId="19" fillId="13" borderId="48" xfId="0" applyFont="1" applyFill="1" applyBorder="1" applyAlignment="1" applyProtection="1">
      <alignment horizontal="center"/>
      <protection hidden="1"/>
    </xf>
    <xf numFmtId="0" fontId="18" fillId="13" borderId="11" xfId="35" applyFont="1" applyFill="1" applyBorder="1" applyAlignment="1">
      <alignment horizontal="center" vertical="center"/>
    </xf>
    <xf numFmtId="0" fontId="18" fillId="13" borderId="0" xfId="35" applyFont="1" applyFill="1" applyAlignment="1">
      <alignment horizontal="center" vertical="center"/>
    </xf>
    <xf numFmtId="0" fontId="18" fillId="13" borderId="12" xfId="35" applyFont="1" applyFill="1" applyBorder="1" applyAlignment="1">
      <alignment horizontal="center" vertical="center"/>
    </xf>
    <xf numFmtId="0" fontId="18" fillId="13" borderId="48" xfId="35" applyFont="1" applyFill="1" applyBorder="1" applyAlignment="1">
      <alignment horizontal="center" vertical="center"/>
    </xf>
    <xf numFmtId="0" fontId="33" fillId="13" borderId="48" xfId="0" applyFont="1" applyFill="1" applyBorder="1" applyAlignment="1">
      <alignment horizontal="center" vertical="center"/>
    </xf>
    <xf numFmtId="0" fontId="15" fillId="0" borderId="64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166" fontId="10" fillId="0" borderId="64" xfId="1" applyBorder="1" applyAlignment="1" applyProtection="1">
      <alignment vertical="center"/>
      <protection hidden="1"/>
    </xf>
    <xf numFmtId="166" fontId="10" fillId="0" borderId="3" xfId="1" applyBorder="1" applyAlignment="1" applyProtection="1">
      <alignment vertical="center"/>
      <protection hidden="1"/>
    </xf>
  </cellXfs>
  <cellStyles count="38">
    <cellStyle name="Moeda" xfId="1" builtinId="4"/>
    <cellStyle name="Moeda 2" xfId="7"/>
    <cellStyle name="Moeda 2 2" xfId="27"/>
    <cellStyle name="Moeda 2 3" xfId="30"/>
    <cellStyle name="Moeda 2 4" xfId="12"/>
    <cellStyle name="Moeda 3" xfId="9"/>
    <cellStyle name="Moeda 3 2" xfId="13"/>
    <cellStyle name="Moeda 4" xfId="14"/>
    <cellStyle name="Moeda 5" xfId="28"/>
    <cellStyle name="Normal" xfId="0" builtinId="0"/>
    <cellStyle name="Normal 2" xfId="4"/>
    <cellStyle name="Normal 2 2" xfId="25"/>
    <cellStyle name="Normal 2 2 2" xfId="35"/>
    <cellStyle name="Normal 2 3" xfId="15"/>
    <cellStyle name="Normal 2 3 2" xfId="29"/>
    <cellStyle name="Normal 2 4" xfId="37"/>
    <cellStyle name="Normal 3" xfId="5"/>
    <cellStyle name="Normal 3 2" xfId="11"/>
    <cellStyle name="Normal 3 3" xfId="26"/>
    <cellStyle name="Normal 3 4" xfId="16"/>
    <cellStyle name="Normal 4" xfId="17"/>
    <cellStyle name="Normal 5" xfId="23"/>
    <cellStyle name="Normal 6" xfId="24"/>
    <cellStyle name="Normal 7" xfId="10"/>
    <cellStyle name="Normal 8" xfId="32"/>
    <cellStyle name="Normal 9" xfId="33"/>
    <cellStyle name="Porcentagem" xfId="2" builtinId="5"/>
    <cellStyle name="Porcentagem 2" xfId="18"/>
    <cellStyle name="Porcentagem 3" xfId="19"/>
    <cellStyle name="Separador de milhares" xfId="3" builtinId="3"/>
    <cellStyle name="Separador de milhares 4" xfId="36"/>
    <cellStyle name="Título 1 1" xfId="20"/>
    <cellStyle name="Vírgula 2" xfId="6"/>
    <cellStyle name="Vírgula 2 2" xfId="21"/>
    <cellStyle name="Vírgula 3" xfId="8"/>
    <cellStyle name="Vírgula 3 2" xfId="22"/>
    <cellStyle name="Vírgula 4" xfId="31"/>
    <cellStyle name="Vírgula 5" xfId="34"/>
  </cellStyles>
  <dxfs count="0"/>
  <tableStyles count="0" defaultTableStyle="TableStyleMedium9" defaultPivotStyle="PivotStyleLight16"/>
  <colors>
    <mruColors>
      <color rgb="FFFF0000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1152525</xdr:colOff>
      <xdr:row>55</xdr:row>
      <xdr:rowOff>47624</xdr:rowOff>
    </xdr:from>
    <xdr:ext cx="2722469" cy="286451"/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15782924"/>
          <a:ext cx="2722469" cy="286451"/>
        </a:xfrm>
        <a:prstGeom prst="rect">
          <a:avLst/>
        </a:prstGeom>
      </xdr:spPr>
    </xdr:pic>
    <xdr:clientData/>
  </xdr:oneCellAnchor>
  <xdr:twoCellAnchor editAs="oneCell">
    <xdr:from>
      <xdr:col>1</xdr:col>
      <xdr:colOff>371475</xdr:colOff>
      <xdr:row>49</xdr:row>
      <xdr:rowOff>66674</xdr:rowOff>
    </xdr:from>
    <xdr:to>
      <xdr:col>3</xdr:col>
      <xdr:colOff>219075</xdr:colOff>
      <xdr:row>59</xdr:row>
      <xdr:rowOff>95249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4335124"/>
          <a:ext cx="2390775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6861</xdr:colOff>
      <xdr:row>39</xdr:row>
      <xdr:rowOff>93785</xdr:rowOff>
    </xdr:from>
    <xdr:ext cx="3028950" cy="410275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6336" y="6732710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</xdr:col>
      <xdr:colOff>302559</xdr:colOff>
      <xdr:row>149</xdr:row>
      <xdr:rowOff>179294</xdr:rowOff>
    </xdr:from>
    <xdr:to>
      <xdr:col>5</xdr:col>
      <xdr:colOff>353209</xdr:colOff>
      <xdr:row>156</xdr:row>
      <xdr:rowOff>77321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971" y="27532853"/>
          <a:ext cx="2101326" cy="1276350"/>
        </a:xfrm>
        <a:prstGeom prst="rect">
          <a:avLst/>
        </a:prstGeom>
      </xdr:spPr>
    </xdr:pic>
    <xdr:clientData/>
  </xdr:twoCellAnchor>
  <xdr:oneCellAnchor>
    <xdr:from>
      <xdr:col>7</xdr:col>
      <xdr:colOff>623608</xdr:colOff>
      <xdr:row>151</xdr:row>
      <xdr:rowOff>80682</xdr:rowOff>
    </xdr:from>
    <xdr:ext cx="3028950" cy="410275"/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1858" y="28265157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13</xdr:col>
      <xdr:colOff>585107</xdr:colOff>
      <xdr:row>39</xdr:row>
      <xdr:rowOff>163286</xdr:rowOff>
    </xdr:from>
    <xdr:to>
      <xdr:col>13</xdr:col>
      <xdr:colOff>2686433</xdr:colOff>
      <xdr:row>46</xdr:row>
      <xdr:rowOff>106136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6830786"/>
          <a:ext cx="2101326" cy="1276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6861</xdr:colOff>
      <xdr:row>41</xdr:row>
      <xdr:rowOff>93785</xdr:rowOff>
    </xdr:from>
    <xdr:ext cx="3028950" cy="410275"/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9211" y="7199435"/>
          <a:ext cx="3028950" cy="4102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747183</xdr:colOff>
      <xdr:row>47</xdr:row>
      <xdr:rowOff>132291</xdr:rowOff>
    </xdr:from>
    <xdr:to>
      <xdr:col>5</xdr:col>
      <xdr:colOff>969722</xdr:colOff>
      <xdr:row>51</xdr:row>
      <xdr:rowOff>30691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FCD80A9E-1F7B-4D0E-98C8-123B6E3E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8850" y="12514791"/>
          <a:ext cx="106920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0</xdr:row>
      <xdr:rowOff>60613</xdr:rowOff>
    </xdr:from>
    <xdr:to>
      <xdr:col>1</xdr:col>
      <xdr:colOff>508000</xdr:colOff>
      <xdr:row>5</xdr:row>
      <xdr:rowOff>105833</xdr:rowOff>
    </xdr:to>
    <xdr:pic>
      <xdr:nvPicPr>
        <xdr:cNvPr id="3" name="Imagem 5">
          <a:extLst>
            <a:ext uri="{FF2B5EF4-FFF2-40B4-BE49-F238E27FC236}">
              <a16:creationId xmlns="" xmlns:a16="http://schemas.microsoft.com/office/drawing/2014/main" id="{C5A5D4B9-E303-4587-B539-359FEA73B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1" y="60613"/>
          <a:ext cx="1236326" cy="1124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511686</xdr:colOff>
      <xdr:row>39</xdr:row>
      <xdr:rowOff>74735</xdr:rowOff>
    </xdr:from>
    <xdr:ext cx="3028950" cy="410275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9436" y="5980235"/>
          <a:ext cx="3028950" cy="410275"/>
        </a:xfrm>
        <a:prstGeom prst="rect">
          <a:avLst/>
        </a:prstGeom>
      </xdr:spPr>
    </xdr:pic>
    <xdr:clientData/>
  </xdr:oneCellAnchor>
  <xdr:oneCellAnchor>
    <xdr:from>
      <xdr:col>7</xdr:col>
      <xdr:colOff>758080</xdr:colOff>
      <xdr:row>148</xdr:row>
      <xdr:rowOff>80682</xdr:rowOff>
    </xdr:from>
    <xdr:ext cx="3028950" cy="410275"/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305" y="26684007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12</xdr:col>
      <xdr:colOff>277090</xdr:colOff>
      <xdr:row>39</xdr:row>
      <xdr:rowOff>96981</xdr:rowOff>
    </xdr:from>
    <xdr:to>
      <xdr:col>12</xdr:col>
      <xdr:colOff>2114550</xdr:colOff>
      <xdr:row>45</xdr:row>
      <xdr:rowOff>97452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8815" y="6002481"/>
          <a:ext cx="1837460" cy="1143471"/>
        </a:xfrm>
        <a:prstGeom prst="rect">
          <a:avLst/>
        </a:prstGeom>
      </xdr:spPr>
    </xdr:pic>
    <xdr:clientData/>
  </xdr:twoCellAnchor>
  <xdr:oneCellAnchor>
    <xdr:from>
      <xdr:col>13</xdr:col>
      <xdr:colOff>511686</xdr:colOff>
      <xdr:row>39</xdr:row>
      <xdr:rowOff>74735</xdr:rowOff>
    </xdr:from>
    <xdr:ext cx="3028950" cy="410275"/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9436" y="5980235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12</xdr:col>
      <xdr:colOff>277090</xdr:colOff>
      <xdr:row>39</xdr:row>
      <xdr:rowOff>96981</xdr:rowOff>
    </xdr:from>
    <xdr:to>
      <xdr:col>12</xdr:col>
      <xdr:colOff>2114550</xdr:colOff>
      <xdr:row>45</xdr:row>
      <xdr:rowOff>97452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8815" y="6002481"/>
          <a:ext cx="1837460" cy="11434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511686</xdr:colOff>
      <xdr:row>39</xdr:row>
      <xdr:rowOff>74735</xdr:rowOff>
    </xdr:from>
    <xdr:ext cx="3028950" cy="410275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2286" y="6037385"/>
          <a:ext cx="3028950" cy="410275"/>
        </a:xfrm>
        <a:prstGeom prst="rect">
          <a:avLst/>
        </a:prstGeom>
      </xdr:spPr>
    </xdr:pic>
    <xdr:clientData/>
  </xdr:oneCellAnchor>
  <xdr:oneCellAnchor>
    <xdr:from>
      <xdr:col>7</xdr:col>
      <xdr:colOff>874058</xdr:colOff>
      <xdr:row>148</xdr:row>
      <xdr:rowOff>181536</xdr:rowOff>
    </xdr:from>
    <xdr:ext cx="2879352" cy="322730"/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283" y="26842011"/>
          <a:ext cx="2879352" cy="322730"/>
        </a:xfrm>
        <a:prstGeom prst="rect">
          <a:avLst/>
        </a:prstGeom>
      </xdr:spPr>
    </xdr:pic>
    <xdr:clientData/>
  </xdr:oneCellAnchor>
  <xdr:twoCellAnchor editAs="oneCell">
    <xdr:from>
      <xdr:col>12</xdr:col>
      <xdr:colOff>277090</xdr:colOff>
      <xdr:row>39</xdr:row>
      <xdr:rowOff>96981</xdr:rowOff>
    </xdr:from>
    <xdr:to>
      <xdr:col>12</xdr:col>
      <xdr:colOff>2114550</xdr:colOff>
      <xdr:row>45</xdr:row>
      <xdr:rowOff>97452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1665" y="6059631"/>
          <a:ext cx="1837460" cy="11434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511686</xdr:colOff>
      <xdr:row>39</xdr:row>
      <xdr:rowOff>74735</xdr:rowOff>
    </xdr:from>
    <xdr:ext cx="3028950" cy="410275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2286" y="6037385"/>
          <a:ext cx="3028950" cy="410275"/>
        </a:xfrm>
        <a:prstGeom prst="rect">
          <a:avLst/>
        </a:prstGeom>
      </xdr:spPr>
    </xdr:pic>
    <xdr:clientData/>
  </xdr:oneCellAnchor>
  <xdr:oneCellAnchor>
    <xdr:from>
      <xdr:col>7</xdr:col>
      <xdr:colOff>874058</xdr:colOff>
      <xdr:row>148</xdr:row>
      <xdr:rowOff>181536</xdr:rowOff>
    </xdr:from>
    <xdr:ext cx="2879352" cy="322730"/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283" y="26842011"/>
          <a:ext cx="2879352" cy="322730"/>
        </a:xfrm>
        <a:prstGeom prst="rect">
          <a:avLst/>
        </a:prstGeom>
      </xdr:spPr>
    </xdr:pic>
    <xdr:clientData/>
  </xdr:oneCellAnchor>
  <xdr:twoCellAnchor editAs="oneCell">
    <xdr:from>
      <xdr:col>12</xdr:col>
      <xdr:colOff>277090</xdr:colOff>
      <xdr:row>39</xdr:row>
      <xdr:rowOff>96981</xdr:rowOff>
    </xdr:from>
    <xdr:to>
      <xdr:col>12</xdr:col>
      <xdr:colOff>2114550</xdr:colOff>
      <xdr:row>45</xdr:row>
      <xdr:rowOff>97452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1665" y="6059631"/>
          <a:ext cx="1837460" cy="11434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511686</xdr:colOff>
      <xdr:row>39</xdr:row>
      <xdr:rowOff>74735</xdr:rowOff>
    </xdr:from>
    <xdr:ext cx="3028950" cy="410275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9436" y="5980235"/>
          <a:ext cx="3028950" cy="410275"/>
        </a:xfrm>
        <a:prstGeom prst="rect">
          <a:avLst/>
        </a:prstGeom>
      </xdr:spPr>
    </xdr:pic>
    <xdr:clientData/>
  </xdr:oneCellAnchor>
  <xdr:oneCellAnchor>
    <xdr:from>
      <xdr:col>7</xdr:col>
      <xdr:colOff>758080</xdr:colOff>
      <xdr:row>148</xdr:row>
      <xdr:rowOff>80682</xdr:rowOff>
    </xdr:from>
    <xdr:ext cx="3028950" cy="410275"/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305" y="26684007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12</xdr:col>
      <xdr:colOff>277090</xdr:colOff>
      <xdr:row>39</xdr:row>
      <xdr:rowOff>96981</xdr:rowOff>
    </xdr:from>
    <xdr:to>
      <xdr:col>12</xdr:col>
      <xdr:colOff>2114550</xdr:colOff>
      <xdr:row>45</xdr:row>
      <xdr:rowOff>97452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8815" y="6002481"/>
          <a:ext cx="1837460" cy="1143471"/>
        </a:xfrm>
        <a:prstGeom prst="rect">
          <a:avLst/>
        </a:prstGeom>
      </xdr:spPr>
    </xdr:pic>
    <xdr:clientData/>
  </xdr:twoCellAnchor>
  <xdr:oneCellAnchor>
    <xdr:from>
      <xdr:col>13</xdr:col>
      <xdr:colOff>511686</xdr:colOff>
      <xdr:row>39</xdr:row>
      <xdr:rowOff>74735</xdr:rowOff>
    </xdr:from>
    <xdr:ext cx="3028950" cy="410275"/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9436" y="5980235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12</xdr:col>
      <xdr:colOff>277090</xdr:colOff>
      <xdr:row>39</xdr:row>
      <xdr:rowOff>96981</xdr:rowOff>
    </xdr:from>
    <xdr:to>
      <xdr:col>12</xdr:col>
      <xdr:colOff>2114550</xdr:colOff>
      <xdr:row>45</xdr:row>
      <xdr:rowOff>97452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8815" y="6002481"/>
          <a:ext cx="1837460" cy="11434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511686</xdr:colOff>
      <xdr:row>39</xdr:row>
      <xdr:rowOff>74735</xdr:rowOff>
    </xdr:from>
    <xdr:ext cx="3028950" cy="410275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2286" y="6037385"/>
          <a:ext cx="3028950" cy="410275"/>
        </a:xfrm>
        <a:prstGeom prst="rect">
          <a:avLst/>
        </a:prstGeom>
      </xdr:spPr>
    </xdr:pic>
    <xdr:clientData/>
  </xdr:oneCellAnchor>
  <xdr:oneCellAnchor>
    <xdr:from>
      <xdr:col>7</xdr:col>
      <xdr:colOff>874058</xdr:colOff>
      <xdr:row>148</xdr:row>
      <xdr:rowOff>181536</xdr:rowOff>
    </xdr:from>
    <xdr:ext cx="2879352" cy="322730"/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283" y="26842011"/>
          <a:ext cx="2879352" cy="322730"/>
        </a:xfrm>
        <a:prstGeom prst="rect">
          <a:avLst/>
        </a:prstGeom>
      </xdr:spPr>
    </xdr:pic>
    <xdr:clientData/>
  </xdr:oneCellAnchor>
  <xdr:twoCellAnchor editAs="oneCell">
    <xdr:from>
      <xdr:col>12</xdr:col>
      <xdr:colOff>277090</xdr:colOff>
      <xdr:row>39</xdr:row>
      <xdr:rowOff>96981</xdr:rowOff>
    </xdr:from>
    <xdr:to>
      <xdr:col>12</xdr:col>
      <xdr:colOff>2114550</xdr:colOff>
      <xdr:row>45</xdr:row>
      <xdr:rowOff>97452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1665" y="6059631"/>
          <a:ext cx="1837460" cy="11434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6861</xdr:colOff>
      <xdr:row>39</xdr:row>
      <xdr:rowOff>93785</xdr:rowOff>
    </xdr:from>
    <xdr:ext cx="3028950" cy="410275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8686" y="7018460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</xdr:col>
      <xdr:colOff>317499</xdr:colOff>
      <xdr:row>149</xdr:row>
      <xdr:rowOff>174625</xdr:rowOff>
    </xdr:from>
    <xdr:to>
      <xdr:col>5</xdr:col>
      <xdr:colOff>361425</xdr:colOff>
      <xdr:row>156</xdr:row>
      <xdr:rowOff>79375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27590750"/>
          <a:ext cx="2091801" cy="1301750"/>
        </a:xfrm>
        <a:prstGeom prst="rect">
          <a:avLst/>
        </a:prstGeom>
      </xdr:spPr>
    </xdr:pic>
    <xdr:clientData/>
  </xdr:twoCellAnchor>
  <xdr:oneCellAnchor>
    <xdr:from>
      <xdr:col>7</xdr:col>
      <xdr:colOff>623608</xdr:colOff>
      <xdr:row>151</xdr:row>
      <xdr:rowOff>80682</xdr:rowOff>
    </xdr:from>
    <xdr:ext cx="3028950" cy="410275"/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1833" y="28284207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13</xdr:col>
      <xdr:colOff>714375</xdr:colOff>
      <xdr:row>40</xdr:row>
      <xdr:rowOff>47625</xdr:rowOff>
    </xdr:from>
    <xdr:to>
      <xdr:col>13</xdr:col>
      <xdr:colOff>2806176</xdr:colOff>
      <xdr:row>47</xdr:row>
      <xdr:rowOff>15875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6625" y="6778625"/>
          <a:ext cx="2091801" cy="1301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6861</xdr:colOff>
      <xdr:row>40</xdr:row>
      <xdr:rowOff>93785</xdr:rowOff>
    </xdr:from>
    <xdr:ext cx="3028950" cy="410275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5386" y="7018460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</xdr:col>
      <xdr:colOff>206375</xdr:colOff>
      <xdr:row>150</xdr:row>
      <xdr:rowOff>127000</xdr:rowOff>
    </xdr:from>
    <xdr:to>
      <xdr:col>5</xdr:col>
      <xdr:colOff>250301</xdr:colOff>
      <xdr:row>157</xdr:row>
      <xdr:rowOff>31750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27828875"/>
          <a:ext cx="2091801" cy="1301750"/>
        </a:xfrm>
        <a:prstGeom prst="rect">
          <a:avLst/>
        </a:prstGeom>
      </xdr:spPr>
    </xdr:pic>
    <xdr:clientData/>
  </xdr:twoCellAnchor>
  <xdr:oneCellAnchor>
    <xdr:from>
      <xdr:col>7</xdr:col>
      <xdr:colOff>623608</xdr:colOff>
      <xdr:row>152</xdr:row>
      <xdr:rowOff>80682</xdr:rowOff>
    </xdr:from>
    <xdr:ext cx="3028950" cy="410275"/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5158" y="27979407"/>
          <a:ext cx="3028950" cy="410275"/>
        </a:xfrm>
        <a:prstGeom prst="rect">
          <a:avLst/>
        </a:prstGeom>
      </xdr:spPr>
    </xdr:pic>
    <xdr:clientData/>
  </xdr:oneCellAnchor>
  <xdr:twoCellAnchor editAs="oneCell">
    <xdr:from>
      <xdr:col>13</xdr:col>
      <xdr:colOff>682625</xdr:colOff>
      <xdr:row>40</xdr:row>
      <xdr:rowOff>174625</xdr:rowOff>
    </xdr:from>
    <xdr:to>
      <xdr:col>13</xdr:col>
      <xdr:colOff>2774426</xdr:colOff>
      <xdr:row>47</xdr:row>
      <xdr:rowOff>142875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7000875"/>
          <a:ext cx="2091801" cy="1301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%202\RA&#199;A\PREG&#213;ES\RA&#199;A%20SEGURAN&#199;A\ELETR&#212;NICO\2019\PE%20-%200022019%20-%20SEC%20DE%20CULTURA%20-%20PA\PE%20-%2022019%20-%20SEC%20CULTURA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endas\000%20-%20LICITA&#199;&#213;ES%202021\EDITAIS%202021\VIGIL&#194;NCIA\GANHAS\PE%20011%20-%202021-SRP%20PREFEITURA%20DE%20CANA&#195;%20DOS%20CARAJ&#193;S%2001.03\PROPOSTA%20E%20PLANILHA%20DE%20CUSTO\PLANILHA%20DE%20CUSTOS%20E%20FORMA&#199;&#195;O%20LANCE%20FINAL%20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PE%2020_2016%20IFAM%20CIDADE%20E%20INTERIOR%2029_11_201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12H DIURNO - DESARMADO"/>
      <sheetName val="12H DIURNO"/>
      <sheetName val="12H NOTURNO"/>
      <sheetName val="INSPETOR - 12H DIUR"/>
      <sheetName val="INSPETOR - 12H NOT"/>
      <sheetName val="UNIF EQUIP MA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>
        <row r="25">
          <cell r="F25">
            <v>47.208333333333336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OPOSTA RESUMO"/>
      <sheetName val="Planilha7"/>
      <sheetName val="PLANILHA 24HS"/>
      <sheetName val="POSTO DIURNO"/>
      <sheetName val="POSTO NOTURNO"/>
      <sheetName val="Memória de Cálculo"/>
    </sheetNames>
    <sheetDataSet>
      <sheetData sheetId="0">
        <row r="41">
          <cell r="L41">
            <v>19620</v>
          </cell>
        </row>
        <row r="42">
          <cell r="L42">
            <v>58860</v>
          </cell>
        </row>
        <row r="43">
          <cell r="L43">
            <v>706320</v>
          </cell>
        </row>
        <row r="55">
          <cell r="L55">
            <v>18040</v>
          </cell>
        </row>
        <row r="56">
          <cell r="L56">
            <v>216480</v>
          </cell>
        </row>
        <row r="68">
          <cell r="L68">
            <v>28640.000000000004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POSTA"/>
      <sheetName val="REITORIA - DIURNO"/>
      <sheetName val="REITORIA - NOTURNO"/>
      <sheetName val="DIURNO RONDANTE"/>
      <sheetName val="NOTURNO RONDANTE"/>
      <sheetName val="Plan4"/>
      <sheetName val="Plan1"/>
      <sheetName val="Plan7"/>
      <sheetName val="Plan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3:S158"/>
  <sheetViews>
    <sheetView view="pageBreakPreview" topLeftCell="A104" zoomScaleNormal="100" zoomScaleSheetLayoutView="100" workbookViewId="0">
      <selection activeCell="G10" sqref="G10:J10"/>
    </sheetView>
  </sheetViews>
  <sheetFormatPr defaultRowHeight="15"/>
  <cols>
    <col min="1" max="1" width="5.42578125" style="2" customWidth="1"/>
    <col min="2" max="2" width="3.5703125" style="2" customWidth="1"/>
    <col min="3" max="3" width="9.140625" style="2"/>
    <col min="4" max="4" width="12.7109375" style="2" customWidth="1"/>
    <col min="5" max="5" width="9.140625" style="2"/>
    <col min="6" max="6" width="10.85546875" style="2" bestFit="1" customWidth="1"/>
    <col min="7" max="7" width="19.140625" style="2" customWidth="1"/>
    <col min="8" max="8" width="20.28515625" style="2" customWidth="1"/>
    <col min="9" max="9" width="10.140625" style="2" customWidth="1"/>
    <col min="10" max="10" width="17.5703125" style="2" customWidth="1"/>
    <col min="11" max="11" width="12.5703125" style="2" customWidth="1"/>
    <col min="12" max="12" width="19.42578125" style="2" hidden="1" customWidth="1"/>
    <col min="13" max="13" width="9.85546875" style="2" hidden="1" customWidth="1"/>
    <col min="14" max="14" width="7.5703125" style="2" hidden="1" customWidth="1"/>
    <col min="15" max="15" width="10.5703125" style="2" hidden="1" customWidth="1"/>
    <col min="16" max="16" width="19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3" spans="1:13" s="6" customFormat="1" ht="108.75" customHeight="1" thickBot="1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18"/>
      <c r="L3" s="5"/>
      <c r="M3" s="5"/>
    </row>
    <row r="4" spans="1:13" s="6" customFormat="1" ht="18.75" customHeight="1" thickTop="1" thickBot="1">
      <c r="A4" s="854" t="s">
        <v>199</v>
      </c>
      <c r="B4" s="855"/>
      <c r="C4" s="855"/>
      <c r="D4" s="855"/>
      <c r="E4" s="855"/>
      <c r="F4" s="855"/>
      <c r="G4" s="855"/>
      <c r="H4" s="855"/>
      <c r="I4" s="855"/>
      <c r="J4" s="856"/>
      <c r="K4" s="5"/>
      <c r="L4" s="5"/>
      <c r="M4" s="5"/>
    </row>
    <row r="5" spans="1:13" s="5" customFormat="1" ht="10.5" customHeight="1" thickTop="1">
      <c r="A5" s="119"/>
      <c r="B5" s="120"/>
      <c r="C5" s="120"/>
      <c r="D5" s="120"/>
      <c r="E5" s="120"/>
      <c r="F5" s="120"/>
      <c r="G5" s="120"/>
      <c r="H5" s="120"/>
      <c r="I5" s="120"/>
      <c r="J5" s="121"/>
    </row>
    <row r="6" spans="1:13" s="6" customFormat="1" ht="13.5" thickBot="1">
      <c r="A6" s="857" t="s">
        <v>139</v>
      </c>
      <c r="B6" s="858"/>
      <c r="C6" s="858"/>
      <c r="D6" s="858"/>
      <c r="E6" s="858"/>
      <c r="F6" s="858"/>
      <c r="G6" s="858"/>
      <c r="H6" s="858"/>
      <c r="I6" s="858"/>
      <c r="J6" s="859"/>
      <c r="K6" s="5"/>
      <c r="L6" s="5"/>
      <c r="M6" s="5"/>
    </row>
    <row r="7" spans="1:13" s="6" customFormat="1" ht="16.5" customHeight="1" thickTop="1" thickBot="1">
      <c r="A7" s="826"/>
      <c r="B7" s="826"/>
      <c r="C7" s="826"/>
      <c r="D7" s="826"/>
      <c r="E7" s="826"/>
      <c r="F7" s="7"/>
      <c r="G7" s="8"/>
      <c r="H7" s="8"/>
      <c r="I7" s="7" t="s">
        <v>127</v>
      </c>
      <c r="J7" s="8" t="s">
        <v>200</v>
      </c>
      <c r="K7" s="5"/>
      <c r="L7" s="5"/>
      <c r="M7" s="5"/>
    </row>
    <row r="8" spans="1:13" s="6" customFormat="1" ht="14.25" thickTop="1" thickBot="1">
      <c r="A8" s="833" t="s">
        <v>23</v>
      </c>
      <c r="B8" s="834"/>
      <c r="C8" s="834"/>
      <c r="D8" s="834"/>
      <c r="E8" s="834"/>
      <c r="F8" s="834"/>
      <c r="G8" s="834"/>
      <c r="H8" s="834"/>
      <c r="I8" s="834"/>
      <c r="J8" s="835"/>
      <c r="K8" s="5"/>
      <c r="L8" s="5"/>
      <c r="M8" s="5"/>
    </row>
    <row r="9" spans="1:13" s="6" customFormat="1" ht="14.25" thickTop="1" thickBot="1">
      <c r="A9" s="860" t="s">
        <v>201</v>
      </c>
      <c r="B9" s="861"/>
      <c r="C9" s="861"/>
      <c r="D9" s="861"/>
      <c r="E9" s="861"/>
      <c r="F9" s="861"/>
      <c r="G9" s="861"/>
      <c r="H9" s="861"/>
      <c r="I9" s="861"/>
      <c r="J9" s="862"/>
      <c r="K9" s="5"/>
      <c r="L9" s="5"/>
      <c r="M9" s="5"/>
    </row>
    <row r="10" spans="1:13" s="6" customFormat="1" ht="14.25" thickTop="1" thickBot="1">
      <c r="A10" s="162" t="s">
        <v>128</v>
      </c>
      <c r="B10" s="9" t="s">
        <v>129</v>
      </c>
      <c r="C10" s="10"/>
      <c r="D10" s="10"/>
      <c r="E10" s="10"/>
      <c r="F10" s="11"/>
      <c r="G10" s="842" t="str">
        <f>J7</f>
        <v>25/05/2020 - 09:00H</v>
      </c>
      <c r="H10" s="843"/>
      <c r="I10" s="843"/>
      <c r="J10" s="844"/>
      <c r="K10" s="5"/>
      <c r="L10" s="5"/>
      <c r="M10" s="5"/>
    </row>
    <row r="11" spans="1:13" s="6" customFormat="1" ht="14.25" thickTop="1" thickBot="1">
      <c r="A11" s="162" t="s">
        <v>8</v>
      </c>
      <c r="B11" s="9" t="s">
        <v>130</v>
      </c>
      <c r="C11" s="10"/>
      <c r="D11" s="10"/>
      <c r="E11" s="10"/>
      <c r="F11" s="11"/>
      <c r="G11" s="842" t="s">
        <v>164</v>
      </c>
      <c r="H11" s="843"/>
      <c r="I11" s="843"/>
      <c r="J11" s="844"/>
      <c r="K11" s="5"/>
      <c r="L11" s="5"/>
      <c r="M11" s="5"/>
    </row>
    <row r="12" spans="1:13" s="6" customFormat="1" ht="16.5" customHeight="1" thickTop="1" thickBot="1">
      <c r="A12" s="162" t="s">
        <v>9</v>
      </c>
      <c r="B12" s="9" t="s">
        <v>131</v>
      </c>
      <c r="C12" s="10"/>
      <c r="D12" s="10"/>
      <c r="E12" s="10"/>
      <c r="F12" s="11"/>
      <c r="G12" s="842" t="s">
        <v>176</v>
      </c>
      <c r="H12" s="845"/>
      <c r="I12" s="845"/>
      <c r="J12" s="846"/>
      <c r="K12" s="5"/>
      <c r="L12" s="5"/>
      <c r="M12" s="5"/>
    </row>
    <row r="13" spans="1:13" s="6" customFormat="1" ht="16.5" customHeight="1" thickTop="1" thickBot="1">
      <c r="A13" s="162" t="s">
        <v>10</v>
      </c>
      <c r="B13" s="9" t="s">
        <v>132</v>
      </c>
      <c r="C13" s="10"/>
      <c r="D13" s="10"/>
      <c r="E13" s="10"/>
      <c r="F13" s="11"/>
      <c r="G13" s="847">
        <v>12</v>
      </c>
      <c r="H13" s="845"/>
      <c r="I13" s="845"/>
      <c r="J13" s="846"/>
      <c r="K13" s="5"/>
      <c r="L13" s="5"/>
      <c r="M13" s="5"/>
    </row>
    <row r="14" spans="1:13" s="6" customFormat="1" ht="16.5" customHeight="1" thickTop="1" thickBot="1">
      <c r="A14" s="825" t="s">
        <v>133</v>
      </c>
      <c r="B14" s="826"/>
      <c r="C14" s="826"/>
      <c r="D14" s="826"/>
      <c r="E14" s="826"/>
      <c r="F14" s="826"/>
      <c r="G14" s="826"/>
      <c r="H14" s="826"/>
      <c r="I14" s="826"/>
      <c r="J14" s="827"/>
      <c r="K14" s="5"/>
      <c r="L14" s="5"/>
      <c r="M14" s="5"/>
    </row>
    <row r="15" spans="1:13" s="6" customFormat="1" ht="14.25" thickTop="1" thickBot="1">
      <c r="A15" s="848" t="s">
        <v>134</v>
      </c>
      <c r="B15" s="849"/>
      <c r="C15" s="849"/>
      <c r="D15" s="849"/>
      <c r="E15" s="849"/>
      <c r="F15" s="849"/>
      <c r="G15" s="849"/>
      <c r="H15" s="849"/>
      <c r="I15" s="849"/>
      <c r="J15" s="850"/>
      <c r="K15" s="5"/>
      <c r="L15" s="5"/>
      <c r="M15" s="5"/>
    </row>
    <row r="16" spans="1:13" s="6" customFormat="1" ht="14.25" thickTop="1" thickBot="1">
      <c r="A16" s="12">
        <v>1</v>
      </c>
      <c r="B16" s="13" t="s">
        <v>25</v>
      </c>
      <c r="C16" s="14"/>
      <c r="D16" s="14"/>
      <c r="E16" s="14"/>
      <c r="F16" s="15"/>
      <c r="G16" s="851" t="str">
        <f>A9</f>
        <v>INSPETOR DESARMADA 12 HORAS NOTURNAS 12X36 DE SEGUNDA FEIRA A DOMINGO</v>
      </c>
      <c r="H16" s="852"/>
      <c r="I16" s="852"/>
      <c r="J16" s="853"/>
      <c r="K16" s="5"/>
      <c r="L16" s="5"/>
      <c r="M16" s="5"/>
    </row>
    <row r="17" spans="1:13" s="6" customFormat="1" ht="14.25" thickTop="1" thickBot="1">
      <c r="A17" s="12">
        <v>2</v>
      </c>
      <c r="B17" s="13" t="s">
        <v>135</v>
      </c>
      <c r="C17" s="14"/>
      <c r="D17" s="14"/>
      <c r="E17" s="14"/>
      <c r="F17" s="15"/>
      <c r="G17" s="833" t="s">
        <v>136</v>
      </c>
      <c r="H17" s="834"/>
      <c r="I17" s="834"/>
      <c r="J17" s="835"/>
      <c r="K17" s="5"/>
      <c r="L17" s="5"/>
      <c r="M17" s="5"/>
    </row>
    <row r="18" spans="1:13" s="6" customFormat="1" ht="14.25" thickTop="1" thickBot="1">
      <c r="A18" s="12">
        <v>3</v>
      </c>
      <c r="B18" s="13" t="s">
        <v>137</v>
      </c>
      <c r="C18" s="14"/>
      <c r="D18" s="14"/>
      <c r="E18" s="14"/>
      <c r="F18" s="15"/>
      <c r="G18" s="836">
        <v>2030.61</v>
      </c>
      <c r="H18" s="837"/>
      <c r="I18" s="837"/>
      <c r="J18" s="838"/>
      <c r="K18" s="5"/>
      <c r="L18" s="5"/>
      <c r="M18" s="5"/>
    </row>
    <row r="19" spans="1:13" s="6" customFormat="1" ht="14.25" thickTop="1" thickBot="1">
      <c r="A19" s="12">
        <v>4</v>
      </c>
      <c r="B19" s="13" t="s">
        <v>138</v>
      </c>
      <c r="C19" s="14"/>
      <c r="D19" s="14"/>
      <c r="E19" s="14"/>
      <c r="F19" s="15"/>
      <c r="G19" s="839">
        <v>43831</v>
      </c>
      <c r="H19" s="834"/>
      <c r="I19" s="834"/>
      <c r="J19" s="835"/>
      <c r="K19" s="5"/>
      <c r="L19" s="5"/>
      <c r="M19" s="5"/>
    </row>
    <row r="20" spans="1:13" s="17" customFormat="1" ht="14.25" thickTop="1" thickBot="1">
      <c r="B20" s="163"/>
      <c r="C20" s="177"/>
      <c r="D20" s="177"/>
      <c r="E20" s="177"/>
      <c r="F20" s="177"/>
      <c r="G20" s="177"/>
      <c r="H20" s="177"/>
      <c r="I20" s="177"/>
      <c r="J20" s="163"/>
    </row>
    <row r="21" spans="1:13" s="17" customFormat="1" ht="14.25" thickTop="1" thickBot="1">
      <c r="A21" s="725" t="s">
        <v>76</v>
      </c>
      <c r="B21" s="726"/>
      <c r="C21" s="726"/>
      <c r="D21" s="726"/>
      <c r="E21" s="726"/>
      <c r="F21" s="726"/>
      <c r="G21" s="726"/>
      <c r="H21" s="726"/>
      <c r="I21" s="726"/>
      <c r="J21" s="727"/>
    </row>
    <row r="22" spans="1:13" s="17" customFormat="1" ht="14.25" thickTop="1" thickBot="1">
      <c r="B22" s="163"/>
      <c r="C22" s="177"/>
      <c r="D22" s="177"/>
      <c r="E22" s="177"/>
      <c r="F22" s="177"/>
      <c r="G22" s="177"/>
      <c r="H22" s="177"/>
      <c r="I22" s="163"/>
      <c r="J22" s="163"/>
    </row>
    <row r="23" spans="1:13" s="17" customFormat="1" ht="14.25" thickTop="1" thickBot="1">
      <c r="A23" s="840" t="s">
        <v>25</v>
      </c>
      <c r="B23" s="840"/>
      <c r="C23" s="840"/>
      <c r="D23" s="840"/>
      <c r="E23" s="840"/>
      <c r="F23" s="840"/>
      <c r="G23" s="37" t="s">
        <v>26</v>
      </c>
      <c r="H23" s="744" t="s">
        <v>27</v>
      </c>
      <c r="I23" s="745"/>
      <c r="J23" s="841"/>
    </row>
    <row r="24" spans="1:13" s="17" customFormat="1" ht="14.25" thickTop="1" thickBot="1">
      <c r="A24" s="822" t="str">
        <f>G16</f>
        <v>INSPETOR DESARMADA 12 HORAS NOTURNAS 12X36 DE SEGUNDA FEIRA A DOMINGO</v>
      </c>
      <c r="B24" s="823"/>
      <c r="C24" s="823"/>
      <c r="D24" s="823"/>
      <c r="E24" s="823"/>
      <c r="F24" s="823"/>
      <c r="G24" s="38" t="s">
        <v>94</v>
      </c>
      <c r="H24" s="821">
        <v>12</v>
      </c>
      <c r="I24" s="821"/>
      <c r="J24" s="824"/>
    </row>
    <row r="25" spans="1:13" s="17" customFormat="1" ht="14.25" thickTop="1" thickBot="1">
      <c r="B25" s="163"/>
      <c r="C25" s="177"/>
      <c r="D25" s="177"/>
      <c r="E25" s="177"/>
      <c r="F25" s="177"/>
      <c r="G25" s="177"/>
      <c r="H25" s="177"/>
      <c r="I25" s="177"/>
      <c r="J25" s="163"/>
    </row>
    <row r="26" spans="1:13" s="17" customFormat="1" ht="14.25" thickTop="1" thickBot="1">
      <c r="A26" s="825" t="s">
        <v>140</v>
      </c>
      <c r="B26" s="826"/>
      <c r="C26" s="826"/>
      <c r="D26" s="826"/>
      <c r="E26" s="826"/>
      <c r="F26" s="826"/>
      <c r="G26" s="826"/>
      <c r="H26" s="826"/>
      <c r="I26" s="826"/>
      <c r="J26" s="827"/>
    </row>
    <row r="27" spans="1:13" s="17" customFormat="1" ht="13.5" thickTop="1">
      <c r="B27" s="177"/>
      <c r="C27" s="177"/>
      <c r="D27" s="177"/>
      <c r="E27" s="177"/>
      <c r="F27" s="177"/>
      <c r="G27" s="177"/>
      <c r="H27" s="177"/>
      <c r="I27" s="177"/>
      <c r="J27" s="163"/>
    </row>
    <row r="28" spans="1:13" s="17" customFormat="1" ht="13.5" thickBot="1">
      <c r="A28" s="828" t="s">
        <v>38</v>
      </c>
      <c r="B28" s="828"/>
      <c r="C28" s="828"/>
      <c r="D28" s="828"/>
      <c r="E28" s="828"/>
      <c r="F28" s="828"/>
      <c r="G28" s="828"/>
      <c r="H28" s="828"/>
      <c r="I28" s="828"/>
      <c r="J28" s="829"/>
    </row>
    <row r="29" spans="1:13" s="17" customFormat="1" ht="14.25" thickTop="1" thickBot="1">
      <c r="A29" s="165">
        <v>1</v>
      </c>
      <c r="B29" s="754" t="s">
        <v>81</v>
      </c>
      <c r="C29" s="755"/>
      <c r="D29" s="755"/>
      <c r="E29" s="755"/>
      <c r="F29" s="755"/>
      <c r="G29" s="755"/>
      <c r="H29" s="171"/>
      <c r="I29" s="171"/>
      <c r="J29" s="40" t="s">
        <v>141</v>
      </c>
    </row>
    <row r="30" spans="1:13" s="17" customFormat="1" ht="14.25" thickTop="1" thickBot="1">
      <c r="A30" s="165">
        <v>2</v>
      </c>
      <c r="B30" s="830" t="s">
        <v>39</v>
      </c>
      <c r="C30" s="831"/>
      <c r="D30" s="831"/>
      <c r="E30" s="831"/>
      <c r="F30" s="831"/>
      <c r="G30" s="831"/>
      <c r="H30" s="831"/>
      <c r="I30" s="832"/>
      <c r="J30" s="39" t="s">
        <v>121</v>
      </c>
    </row>
    <row r="31" spans="1:13" s="17" customFormat="1" ht="14.25" thickTop="1" thickBot="1">
      <c r="A31" s="165">
        <v>3</v>
      </c>
      <c r="B31" s="814" t="s">
        <v>6</v>
      </c>
      <c r="C31" s="815"/>
      <c r="D31" s="815"/>
      <c r="E31" s="815"/>
      <c r="F31" s="815"/>
      <c r="G31" s="815"/>
      <c r="H31" s="815"/>
      <c r="I31" s="816"/>
      <c r="J31" s="19">
        <f>G18</f>
        <v>2030.61</v>
      </c>
    </row>
    <row r="32" spans="1:13" s="17" customFormat="1" ht="14.25" thickTop="1" thickBot="1">
      <c r="A32" s="165">
        <v>4</v>
      </c>
      <c r="B32" s="814" t="s">
        <v>177</v>
      </c>
      <c r="C32" s="815"/>
      <c r="D32" s="815"/>
      <c r="E32" s="815"/>
      <c r="F32" s="815"/>
      <c r="G32" s="815"/>
      <c r="H32" s="815"/>
      <c r="I32" s="816"/>
      <c r="J32" s="18" t="s">
        <v>108</v>
      </c>
    </row>
    <row r="33" spans="1:18" s="17" customFormat="1" ht="14.25" thickTop="1" thickBot="1">
      <c r="A33" s="165">
        <v>6</v>
      </c>
      <c r="B33" s="817" t="s">
        <v>5</v>
      </c>
      <c r="C33" s="818"/>
      <c r="D33" s="818"/>
      <c r="E33" s="818"/>
      <c r="F33" s="818"/>
      <c r="G33" s="818"/>
      <c r="H33" s="818"/>
      <c r="I33" s="819"/>
      <c r="J33" s="20">
        <v>43831</v>
      </c>
    </row>
    <row r="34" spans="1:18" s="17" customFormat="1" ht="14.25" thickTop="1" thickBot="1">
      <c r="B34" s="820"/>
      <c r="C34" s="820"/>
      <c r="D34" s="820"/>
      <c r="E34" s="820"/>
      <c r="F34" s="820"/>
      <c r="G34" s="820"/>
      <c r="H34" s="820"/>
      <c r="I34" s="820"/>
      <c r="J34" s="820"/>
    </row>
    <row r="35" spans="1:18" s="17" customFormat="1" ht="14.25" thickTop="1" thickBot="1">
      <c r="A35" s="750" t="s">
        <v>23</v>
      </c>
      <c r="B35" s="751"/>
      <c r="C35" s="751"/>
      <c r="D35" s="751"/>
      <c r="E35" s="751"/>
      <c r="F35" s="751"/>
      <c r="G35" s="751"/>
      <c r="H35" s="751"/>
      <c r="I35" s="751"/>
      <c r="J35" s="752"/>
    </row>
    <row r="36" spans="1:18" s="17" customFormat="1" ht="14.25" thickTop="1" thickBot="1">
      <c r="A36" s="165">
        <v>1</v>
      </c>
      <c r="B36" s="821" t="s">
        <v>15</v>
      </c>
      <c r="C36" s="821"/>
      <c r="D36" s="821"/>
      <c r="E36" s="821"/>
      <c r="F36" s="821"/>
      <c r="G36" s="821"/>
      <c r="H36" s="821"/>
      <c r="I36" s="164" t="s">
        <v>3</v>
      </c>
      <c r="J36" s="164" t="s">
        <v>1</v>
      </c>
    </row>
    <row r="37" spans="1:18" s="17" customFormat="1" ht="14.25" thickTop="1" thickBot="1">
      <c r="A37" s="165" t="s">
        <v>7</v>
      </c>
      <c r="B37" s="811" t="s">
        <v>24</v>
      </c>
      <c r="C37" s="811"/>
      <c r="D37" s="811"/>
      <c r="E37" s="811"/>
      <c r="F37" s="811"/>
      <c r="G37" s="811"/>
      <c r="H37" s="811"/>
      <c r="I37" s="43">
        <v>1</v>
      </c>
      <c r="J37" s="50">
        <f>J31</f>
        <v>2030.61</v>
      </c>
      <c r="K37" s="21"/>
    </row>
    <row r="38" spans="1:18" s="17" customFormat="1" ht="14.25" thickTop="1" thickBot="1">
      <c r="A38" s="165" t="s">
        <v>8</v>
      </c>
      <c r="B38" s="811" t="s">
        <v>40</v>
      </c>
      <c r="C38" s="811"/>
      <c r="D38" s="811"/>
      <c r="E38" s="811"/>
      <c r="F38" s="811"/>
      <c r="G38" s="811"/>
      <c r="H38" s="811"/>
      <c r="I38" s="44">
        <v>0.3</v>
      </c>
      <c r="J38" s="50">
        <f>J37*I38</f>
        <v>609.18299999999999</v>
      </c>
      <c r="K38" s="21"/>
    </row>
    <row r="39" spans="1:18" s="17" customFormat="1" ht="14.25" thickTop="1" thickBot="1">
      <c r="A39" s="165" t="s">
        <v>9</v>
      </c>
      <c r="B39" s="811" t="s">
        <v>2</v>
      </c>
      <c r="C39" s="811"/>
      <c r="D39" s="811"/>
      <c r="E39" s="811"/>
      <c r="F39" s="811"/>
      <c r="G39" s="811"/>
      <c r="H39" s="811"/>
      <c r="I39" s="45">
        <v>120</v>
      </c>
      <c r="J39" s="187">
        <f>K39*I39</f>
        <v>288</v>
      </c>
      <c r="K39" s="22">
        <v>2.4</v>
      </c>
      <c r="Q39" s="16"/>
      <c r="R39" s="23"/>
    </row>
    <row r="40" spans="1:18" s="17" customFormat="1" ht="14.25" thickTop="1" thickBot="1">
      <c r="A40" s="165" t="s">
        <v>10</v>
      </c>
      <c r="B40" s="811" t="s">
        <v>109</v>
      </c>
      <c r="C40" s="811"/>
      <c r="D40" s="811"/>
      <c r="E40" s="811"/>
      <c r="F40" s="811"/>
      <c r="G40" s="811"/>
      <c r="H40" s="811"/>
      <c r="I40" s="45">
        <v>15</v>
      </c>
      <c r="J40" s="50">
        <f>K40*I40</f>
        <v>324</v>
      </c>
      <c r="K40" s="22">
        <v>21.6</v>
      </c>
      <c r="Q40" s="16"/>
      <c r="R40" s="16"/>
    </row>
    <row r="41" spans="1:18" s="17" customFormat="1" ht="14.25" hidden="1" thickTop="1" thickBot="1">
      <c r="A41" s="165"/>
      <c r="B41" s="46"/>
      <c r="C41" s="811" t="s">
        <v>111</v>
      </c>
      <c r="D41" s="811"/>
      <c r="E41" s="811"/>
      <c r="F41" s="811"/>
      <c r="G41" s="811"/>
      <c r="H41" s="811"/>
      <c r="I41" s="47">
        <v>0</v>
      </c>
      <c r="J41" s="50">
        <f>I41*15</f>
        <v>0</v>
      </c>
      <c r="K41" s="22"/>
    </row>
    <row r="42" spans="1:18" s="17" customFormat="1" ht="14.25" hidden="1" thickTop="1" thickBot="1">
      <c r="A42" s="165"/>
      <c r="B42" s="164"/>
      <c r="C42" s="811" t="s">
        <v>110</v>
      </c>
      <c r="D42" s="811"/>
      <c r="E42" s="811"/>
      <c r="F42" s="811"/>
      <c r="G42" s="811"/>
      <c r="H42" s="811"/>
      <c r="I42" s="47">
        <v>0</v>
      </c>
      <c r="J42" s="50">
        <f>J41/6</f>
        <v>0</v>
      </c>
      <c r="K42" s="22"/>
    </row>
    <row r="43" spans="1:18" s="17" customFormat="1" ht="14.25" hidden="1" thickTop="1" thickBot="1">
      <c r="A43" s="165"/>
      <c r="B43" s="164"/>
      <c r="C43" s="811" t="s">
        <v>112</v>
      </c>
      <c r="D43" s="811"/>
      <c r="E43" s="811"/>
      <c r="F43" s="811"/>
      <c r="G43" s="811"/>
      <c r="H43" s="811"/>
      <c r="I43" s="48">
        <v>0</v>
      </c>
      <c r="J43" s="50">
        <f>I43*I39</f>
        <v>0</v>
      </c>
      <c r="K43" s="22"/>
    </row>
    <row r="44" spans="1:18" s="17" customFormat="1" ht="14.25" thickTop="1" thickBot="1">
      <c r="A44" s="165" t="s">
        <v>11</v>
      </c>
      <c r="B44" s="811" t="s">
        <v>123</v>
      </c>
      <c r="C44" s="811"/>
      <c r="D44" s="811"/>
      <c r="E44" s="811"/>
      <c r="F44" s="811"/>
      <c r="G44" s="811"/>
      <c r="H44" s="811"/>
      <c r="I44" s="49"/>
      <c r="J44" s="51">
        <f>(J39+J40)/6</f>
        <v>102</v>
      </c>
      <c r="K44" s="22"/>
      <c r="Q44" s="24"/>
    </row>
    <row r="45" spans="1:18" s="17" customFormat="1" ht="14.25" thickTop="1" thickBot="1">
      <c r="A45" s="744" t="s">
        <v>95</v>
      </c>
      <c r="B45" s="745"/>
      <c r="C45" s="745"/>
      <c r="D45" s="745"/>
      <c r="E45" s="745"/>
      <c r="F45" s="745"/>
      <c r="G45" s="745"/>
      <c r="H45" s="745"/>
      <c r="I45" s="745"/>
      <c r="J45" s="52">
        <f>SUM(J37:J44)</f>
        <v>3353.7929999999997</v>
      </c>
      <c r="K45" s="22"/>
      <c r="Q45" s="25"/>
      <c r="R45" s="23"/>
    </row>
    <row r="46" spans="1:18" s="17" customFormat="1" ht="14.25" thickTop="1" thickBot="1">
      <c r="A46" s="744" t="s">
        <v>57</v>
      </c>
      <c r="B46" s="745"/>
      <c r="C46" s="745"/>
      <c r="D46" s="745"/>
      <c r="E46" s="745"/>
      <c r="F46" s="745"/>
      <c r="G46" s="745"/>
      <c r="H46" s="745"/>
      <c r="I46" s="745"/>
      <c r="J46" s="53">
        <f>SUM(J45)</f>
        <v>3353.7929999999997</v>
      </c>
      <c r="K46" s="22"/>
      <c r="Q46" s="25"/>
    </row>
    <row r="47" spans="1:18" s="17" customFormat="1" ht="13.5" thickTop="1">
      <c r="B47" s="167"/>
      <c r="C47" s="167"/>
      <c r="D47" s="167"/>
      <c r="E47" s="167"/>
      <c r="F47" s="167"/>
      <c r="G47" s="167"/>
      <c r="H47" s="167"/>
      <c r="I47" s="167"/>
      <c r="J47" s="26"/>
      <c r="K47" s="27"/>
      <c r="Q47" s="25"/>
    </row>
    <row r="48" spans="1:18" s="17" customFormat="1" ht="13.5" thickBot="1">
      <c r="B48" s="167"/>
      <c r="C48" s="167"/>
      <c r="D48" s="167"/>
      <c r="E48" s="167"/>
      <c r="F48" s="167"/>
      <c r="G48" s="167"/>
      <c r="H48" s="167"/>
      <c r="I48" s="167"/>
      <c r="J48" s="28"/>
      <c r="K48" s="29"/>
    </row>
    <row r="49" spans="1:13" s="17" customFormat="1" ht="14.25" thickTop="1" thickBot="1">
      <c r="A49" s="750" t="s">
        <v>41</v>
      </c>
      <c r="B49" s="751"/>
      <c r="C49" s="751"/>
      <c r="D49" s="751"/>
      <c r="E49" s="751"/>
      <c r="F49" s="751"/>
      <c r="G49" s="751"/>
      <c r="H49" s="751"/>
      <c r="I49" s="751"/>
      <c r="J49" s="812"/>
      <c r="K49" s="29"/>
      <c r="M49" s="176"/>
    </row>
    <row r="50" spans="1:13" s="17" customFormat="1" ht="14.25" thickTop="1" thickBot="1">
      <c r="A50" s="721" t="s">
        <v>47</v>
      </c>
      <c r="B50" s="721"/>
      <c r="C50" s="721"/>
      <c r="D50" s="721"/>
      <c r="E50" s="721"/>
      <c r="F50" s="721"/>
      <c r="G50" s="721"/>
      <c r="H50" s="813"/>
      <c r="I50" s="41" t="s">
        <v>3</v>
      </c>
      <c r="J50" s="42" t="s">
        <v>1</v>
      </c>
      <c r="K50" s="29"/>
      <c r="L50" s="16"/>
      <c r="M50" s="176"/>
    </row>
    <row r="51" spans="1:13" s="17" customFormat="1" ht="14.25" thickTop="1" thickBot="1">
      <c r="A51" s="168" t="s">
        <v>7</v>
      </c>
      <c r="B51" s="754" t="s">
        <v>178</v>
      </c>
      <c r="C51" s="755"/>
      <c r="D51" s="755"/>
      <c r="E51" s="755"/>
      <c r="F51" s="755"/>
      <c r="G51" s="755"/>
      <c r="H51" s="756"/>
      <c r="I51" s="54">
        <v>8.3299999999999999E-2</v>
      </c>
      <c r="J51" s="67">
        <f>$J$45*I51</f>
        <v>279.37095689999995</v>
      </c>
      <c r="K51" s="29"/>
      <c r="L51" s="30"/>
    </row>
    <row r="52" spans="1:13" s="17" customFormat="1" ht="14.25" thickTop="1" thickBot="1">
      <c r="A52" s="168" t="s">
        <v>8</v>
      </c>
      <c r="B52" s="754" t="s">
        <v>172</v>
      </c>
      <c r="C52" s="755"/>
      <c r="D52" s="755"/>
      <c r="E52" s="755"/>
      <c r="F52" s="755"/>
      <c r="G52" s="755"/>
      <c r="H52" s="756"/>
      <c r="I52" s="54">
        <v>8.3299999999999999E-2</v>
      </c>
      <c r="J52" s="67">
        <f>I52*J45</f>
        <v>279.37095689999995</v>
      </c>
      <c r="K52" s="29"/>
      <c r="L52" s="30"/>
    </row>
    <row r="53" spans="1:13" s="17" customFormat="1" ht="14.25" thickTop="1" thickBot="1">
      <c r="A53" s="168" t="s">
        <v>9</v>
      </c>
      <c r="B53" s="754" t="s">
        <v>174</v>
      </c>
      <c r="C53" s="755"/>
      <c r="D53" s="755"/>
      <c r="E53" s="755"/>
      <c r="F53" s="755"/>
      <c r="G53" s="755"/>
      <c r="H53" s="756"/>
      <c r="I53" s="55">
        <v>3.7699999999999997E-2</v>
      </c>
      <c r="J53" s="67">
        <f>(J45*33.33%)*I53</f>
        <v>42.141784100129996</v>
      </c>
      <c r="K53" s="124"/>
      <c r="L53" s="30"/>
    </row>
    <row r="54" spans="1:13" s="17" customFormat="1" ht="14.25" thickTop="1" thickBot="1">
      <c r="A54" s="808" t="s">
        <v>43</v>
      </c>
      <c r="B54" s="801"/>
      <c r="C54" s="801"/>
      <c r="D54" s="801"/>
      <c r="E54" s="801"/>
      <c r="F54" s="801"/>
      <c r="G54" s="801"/>
      <c r="H54" s="802"/>
      <c r="I54" s="63">
        <f>SUM(I51:I53)</f>
        <v>0.20429999999999998</v>
      </c>
      <c r="J54" s="68">
        <f>SUM(J51:J53)</f>
        <v>600.88369790012985</v>
      </c>
      <c r="K54" s="29"/>
      <c r="L54" s="31"/>
    </row>
    <row r="55" spans="1:13" s="17" customFormat="1" ht="14.25" thickTop="1" thickBot="1">
      <c r="A55" s="809"/>
      <c r="B55" s="762"/>
      <c r="C55" s="762"/>
      <c r="D55" s="762"/>
      <c r="E55" s="762"/>
      <c r="F55" s="762"/>
      <c r="G55" s="762"/>
      <c r="H55" s="762"/>
      <c r="I55" s="762"/>
      <c r="J55" s="810"/>
      <c r="K55" s="29"/>
      <c r="L55" s="31"/>
    </row>
    <row r="56" spans="1:13" s="17" customFormat="1" ht="14.25" thickTop="1" thickBot="1">
      <c r="A56" s="759" t="s">
        <v>48</v>
      </c>
      <c r="B56" s="801"/>
      <c r="C56" s="801"/>
      <c r="D56" s="801"/>
      <c r="E56" s="801"/>
      <c r="F56" s="801"/>
      <c r="G56" s="801"/>
      <c r="H56" s="802"/>
      <c r="I56" s="62" t="s">
        <v>3</v>
      </c>
      <c r="J56" s="62" t="s">
        <v>1</v>
      </c>
      <c r="K56" s="29"/>
      <c r="L56" s="31"/>
    </row>
    <row r="57" spans="1:13" s="17" customFormat="1" ht="14.25" thickTop="1" thickBot="1">
      <c r="A57" s="165" t="s">
        <v>7</v>
      </c>
      <c r="B57" s="805" t="s">
        <v>84</v>
      </c>
      <c r="C57" s="806"/>
      <c r="D57" s="806"/>
      <c r="E57" s="806"/>
      <c r="F57" s="806"/>
      <c r="G57" s="806"/>
      <c r="H57" s="807"/>
      <c r="I57" s="56">
        <v>0.2</v>
      </c>
      <c r="J57" s="64">
        <f>I57*(J54+J45)</f>
        <v>790.93533958002592</v>
      </c>
      <c r="K57" s="29"/>
      <c r="L57" s="31"/>
    </row>
    <row r="58" spans="1:13" s="17" customFormat="1" ht="14.25" customHeight="1" thickTop="1" thickBot="1">
      <c r="A58" s="165" t="s">
        <v>8</v>
      </c>
      <c r="B58" s="805" t="s">
        <v>85</v>
      </c>
      <c r="C58" s="806"/>
      <c r="D58" s="806"/>
      <c r="E58" s="806"/>
      <c r="F58" s="806"/>
      <c r="G58" s="806"/>
      <c r="H58" s="807"/>
      <c r="I58" s="56">
        <v>2.5000000000000001E-2</v>
      </c>
      <c r="J58" s="65">
        <f>I58*(J54+J45)</f>
        <v>98.866917447503241</v>
      </c>
      <c r="K58" s="29"/>
      <c r="L58" s="31"/>
    </row>
    <row r="59" spans="1:13" s="17" customFormat="1" ht="19.5" customHeight="1" thickTop="1" thickBot="1">
      <c r="A59" s="165" t="s">
        <v>9</v>
      </c>
      <c r="B59" s="796" t="s">
        <v>166</v>
      </c>
      <c r="C59" s="797"/>
      <c r="D59" s="797"/>
      <c r="E59" s="797"/>
      <c r="F59" s="797"/>
      <c r="G59" s="797"/>
      <c r="H59" s="798"/>
      <c r="I59" s="59">
        <v>0.03</v>
      </c>
      <c r="J59" s="65">
        <f>I59*(J54+J45)</f>
        <v>118.64030093700389</v>
      </c>
      <c r="K59" s="29"/>
      <c r="L59" s="32"/>
    </row>
    <row r="60" spans="1:13" s="17" customFormat="1" ht="14.25" customHeight="1" thickTop="1" thickBot="1">
      <c r="A60" s="165" t="s">
        <v>10</v>
      </c>
      <c r="B60" s="805" t="s">
        <v>45</v>
      </c>
      <c r="C60" s="806"/>
      <c r="D60" s="806"/>
      <c r="E60" s="806"/>
      <c r="F60" s="806"/>
      <c r="G60" s="806"/>
      <c r="H60" s="807"/>
      <c r="I60" s="59">
        <v>7.4999999999999997E-3</v>
      </c>
      <c r="J60" s="65">
        <f>I60*(J54+J45)</f>
        <v>29.660075234250971</v>
      </c>
      <c r="K60" s="29"/>
      <c r="L60" s="31"/>
    </row>
    <row r="61" spans="1:13" s="17" customFormat="1" ht="14.25" customHeight="1" thickTop="1" thickBot="1">
      <c r="A61" s="165" t="s">
        <v>11</v>
      </c>
      <c r="B61" s="805" t="s">
        <v>86</v>
      </c>
      <c r="C61" s="806"/>
      <c r="D61" s="806"/>
      <c r="E61" s="806"/>
      <c r="F61" s="806"/>
      <c r="G61" s="806"/>
      <c r="H61" s="807"/>
      <c r="I61" s="59">
        <v>5.0000000000000001E-3</v>
      </c>
      <c r="J61" s="65">
        <f>I61*(J54+J46)</f>
        <v>19.773383489500649</v>
      </c>
      <c r="K61" s="29"/>
      <c r="L61" s="31"/>
    </row>
    <row r="62" spans="1:13" s="17" customFormat="1" ht="14.25" thickTop="1" thickBot="1">
      <c r="A62" s="165" t="s">
        <v>12</v>
      </c>
      <c r="B62" s="796" t="s">
        <v>87</v>
      </c>
      <c r="C62" s="797"/>
      <c r="D62" s="797"/>
      <c r="E62" s="797"/>
      <c r="F62" s="797"/>
      <c r="G62" s="797"/>
      <c r="H62" s="798"/>
      <c r="I62" s="59">
        <v>6.0000000000000001E-3</v>
      </c>
      <c r="J62" s="65">
        <f>I62*(J54+J45)</f>
        <v>23.728060187400779</v>
      </c>
      <c r="K62" s="29"/>
      <c r="L62" s="31"/>
    </row>
    <row r="63" spans="1:13" s="17" customFormat="1" ht="14.25" thickTop="1" thickBot="1">
      <c r="A63" s="165" t="s">
        <v>13</v>
      </c>
      <c r="B63" s="796" t="s">
        <v>88</v>
      </c>
      <c r="C63" s="797"/>
      <c r="D63" s="797"/>
      <c r="E63" s="797"/>
      <c r="F63" s="797"/>
      <c r="G63" s="797"/>
      <c r="H63" s="798"/>
      <c r="I63" s="59">
        <v>2E-3</v>
      </c>
      <c r="J63" s="65">
        <f>I63*(J54+J45)</f>
        <v>7.9093533958002595</v>
      </c>
      <c r="K63" s="29"/>
      <c r="L63" s="31"/>
    </row>
    <row r="64" spans="1:13" s="17" customFormat="1" ht="14.25" thickTop="1" thickBot="1">
      <c r="A64" s="165" t="s">
        <v>14</v>
      </c>
      <c r="B64" s="796" t="s">
        <v>89</v>
      </c>
      <c r="C64" s="797"/>
      <c r="D64" s="797"/>
      <c r="E64" s="797"/>
      <c r="F64" s="797"/>
      <c r="G64" s="797"/>
      <c r="H64" s="798"/>
      <c r="I64" s="59">
        <v>0.08</v>
      </c>
      <c r="J64" s="65">
        <f>I64*(J54+J45)</f>
        <v>316.37413583201038</v>
      </c>
      <c r="K64" s="29"/>
      <c r="L64" s="31"/>
    </row>
    <row r="65" spans="1:19" s="17" customFormat="1" ht="14.25" thickTop="1" thickBot="1">
      <c r="A65" s="759" t="s">
        <v>46</v>
      </c>
      <c r="B65" s="760"/>
      <c r="C65" s="760"/>
      <c r="D65" s="760"/>
      <c r="E65" s="760"/>
      <c r="F65" s="760"/>
      <c r="G65" s="760"/>
      <c r="H65" s="761"/>
      <c r="I65" s="61">
        <f>SUM(I57:I64)</f>
        <v>0.35550000000000004</v>
      </c>
      <c r="J65" s="66">
        <f>TRUNC(SUM(J57:J64),2)</f>
        <v>1405.88</v>
      </c>
      <c r="K65" s="29"/>
      <c r="L65" s="31"/>
    </row>
    <row r="66" spans="1:19" s="17" customFormat="1" ht="14.25" thickTop="1" thickBot="1">
      <c r="B66" s="799"/>
      <c r="C66" s="799"/>
      <c r="D66" s="799"/>
      <c r="E66" s="799"/>
      <c r="F66" s="799"/>
      <c r="G66" s="799"/>
      <c r="H66" s="799"/>
      <c r="I66" s="799"/>
      <c r="J66" s="800"/>
      <c r="K66" s="29"/>
      <c r="L66" s="31"/>
    </row>
    <row r="67" spans="1:19" s="17" customFormat="1" ht="14.25" thickTop="1" thickBot="1">
      <c r="A67" s="759" t="s">
        <v>49</v>
      </c>
      <c r="B67" s="760"/>
      <c r="C67" s="760"/>
      <c r="D67" s="760"/>
      <c r="E67" s="801"/>
      <c r="F67" s="801"/>
      <c r="G67" s="801"/>
      <c r="H67" s="802"/>
      <c r="I67" s="803" t="s">
        <v>1</v>
      </c>
      <c r="J67" s="804"/>
      <c r="K67" s="29"/>
      <c r="L67" s="31"/>
    </row>
    <row r="68" spans="1:19" s="17" customFormat="1" ht="13.5" customHeight="1" thickTop="1" thickBot="1">
      <c r="A68" s="786" t="s">
        <v>7</v>
      </c>
      <c r="B68" s="788" t="s">
        <v>113</v>
      </c>
      <c r="C68" s="789"/>
      <c r="D68" s="789"/>
      <c r="E68" s="69" t="s">
        <v>90</v>
      </c>
      <c r="F68" s="69" t="s">
        <v>91</v>
      </c>
      <c r="G68" s="69" t="s">
        <v>92</v>
      </c>
      <c r="H68" s="69" t="s">
        <v>93</v>
      </c>
      <c r="I68" s="792"/>
      <c r="J68" s="794">
        <f>(E69*F69*G69)-(J37*H69)/2</f>
        <v>47.081700000000005</v>
      </c>
      <c r="K68" s="29"/>
      <c r="L68" s="30"/>
    </row>
    <row r="69" spans="1:19" s="17" customFormat="1" ht="14.25" thickTop="1" thickBot="1">
      <c r="A69" s="787"/>
      <c r="B69" s="790"/>
      <c r="C69" s="791"/>
      <c r="D69" s="791"/>
      <c r="E69" s="70">
        <v>3.6</v>
      </c>
      <c r="F69" s="71">
        <v>2</v>
      </c>
      <c r="G69" s="71">
        <v>15</v>
      </c>
      <c r="H69" s="72">
        <v>0.06</v>
      </c>
      <c r="I69" s="793"/>
      <c r="J69" s="795"/>
      <c r="K69" s="29"/>
      <c r="L69" s="31"/>
      <c r="Q69" s="131">
        <f>E69*F69*G69</f>
        <v>108</v>
      </c>
      <c r="R69" s="132">
        <f>J37*6%/2</f>
        <v>60.918299999999995</v>
      </c>
      <c r="S69" s="131">
        <f>Q69-R69</f>
        <v>47.081700000000005</v>
      </c>
    </row>
    <row r="70" spans="1:19" s="17" customFormat="1" ht="12.75" customHeight="1" thickTop="1" thickBot="1">
      <c r="A70" s="73" t="s">
        <v>8</v>
      </c>
      <c r="B70" s="777" t="s">
        <v>173</v>
      </c>
      <c r="C70" s="777"/>
      <c r="D70" s="777"/>
      <c r="E70" s="777"/>
      <c r="F70" s="777"/>
      <c r="G70" s="777"/>
      <c r="H70" s="777"/>
      <c r="I70" s="74">
        <v>26</v>
      </c>
      <c r="J70" s="75">
        <f>(I70*15)*0.99</f>
        <v>386.1</v>
      </c>
      <c r="K70" s="29"/>
      <c r="L70" s="31"/>
    </row>
    <row r="71" spans="1:19" s="17" customFormat="1" ht="12.75" customHeight="1" thickTop="1" thickBot="1">
      <c r="A71" s="73" t="s">
        <v>9</v>
      </c>
      <c r="B71" s="777" t="s">
        <v>146</v>
      </c>
      <c r="C71" s="777"/>
      <c r="D71" s="777"/>
      <c r="E71" s="777"/>
      <c r="F71" s="777"/>
      <c r="G71" s="777"/>
      <c r="H71" s="777"/>
      <c r="I71" s="74">
        <v>2</v>
      </c>
      <c r="J71" s="75">
        <f>I71</f>
        <v>2</v>
      </c>
      <c r="K71" s="29"/>
      <c r="L71" s="31"/>
    </row>
    <row r="72" spans="1:19" s="17" customFormat="1" ht="14.25" thickTop="1" thickBot="1">
      <c r="A72" s="73" t="s">
        <v>10</v>
      </c>
      <c r="B72" s="776" t="s">
        <v>98</v>
      </c>
      <c r="C72" s="776"/>
      <c r="D72" s="776"/>
      <c r="E72" s="776"/>
      <c r="F72" s="776"/>
      <c r="G72" s="776"/>
      <c r="H72" s="776"/>
      <c r="I72" s="74">
        <v>0</v>
      </c>
      <c r="J72" s="75">
        <v>13.89</v>
      </c>
      <c r="K72" s="29"/>
      <c r="L72" s="31"/>
    </row>
    <row r="73" spans="1:19" s="17" customFormat="1" ht="12.75" customHeight="1" thickTop="1" thickBot="1">
      <c r="A73" s="73" t="s">
        <v>11</v>
      </c>
      <c r="B73" s="777" t="s">
        <v>175</v>
      </c>
      <c r="C73" s="777"/>
      <c r="D73" s="777"/>
      <c r="E73" s="777"/>
      <c r="F73" s="777"/>
      <c r="G73" s="777"/>
      <c r="H73" s="777"/>
      <c r="I73" s="74">
        <v>0</v>
      </c>
      <c r="J73" s="75">
        <f>I73*15</f>
        <v>0</v>
      </c>
      <c r="K73" s="27">
        <f>J46/220</f>
        <v>15.244513636363635</v>
      </c>
      <c r="L73" s="31"/>
      <c r="Q73" s="25">
        <f>K73*1.5</f>
        <v>22.866770454545453</v>
      </c>
    </row>
    <row r="74" spans="1:19" s="17" customFormat="1" ht="14.25" thickTop="1" thickBot="1">
      <c r="A74" s="73" t="s">
        <v>12</v>
      </c>
      <c r="B74" s="778" t="s">
        <v>202</v>
      </c>
      <c r="C74" s="779"/>
      <c r="D74" s="779"/>
      <c r="E74" s="779"/>
      <c r="F74" s="779"/>
      <c r="G74" s="779"/>
      <c r="H74" s="780"/>
      <c r="I74" s="74">
        <v>26.56</v>
      </c>
      <c r="J74" s="75">
        <f>I74</f>
        <v>26.56</v>
      </c>
      <c r="K74" s="27">
        <f>J45/220</f>
        <v>15.244513636363635</v>
      </c>
      <c r="L74" s="31"/>
      <c r="Q74" s="25">
        <f>K74*2</f>
        <v>30.48902727272727</v>
      </c>
    </row>
    <row r="75" spans="1:19" s="17" customFormat="1" ht="14.25" thickTop="1" thickBot="1">
      <c r="A75" s="781" t="s">
        <v>50</v>
      </c>
      <c r="B75" s="782"/>
      <c r="C75" s="782"/>
      <c r="D75" s="782"/>
      <c r="E75" s="782"/>
      <c r="F75" s="782"/>
      <c r="G75" s="782"/>
      <c r="H75" s="782"/>
      <c r="I75" s="783"/>
      <c r="J75" s="75">
        <f>TRUNC(SUM(J68:J74),2)</f>
        <v>475.63</v>
      </c>
      <c r="K75" s="29"/>
      <c r="L75" s="31"/>
    </row>
    <row r="76" spans="1:19" s="17" customFormat="1" ht="14.25" thickTop="1" thickBot="1">
      <c r="A76" s="29"/>
      <c r="B76" s="784"/>
      <c r="C76" s="784"/>
      <c r="D76" s="784"/>
      <c r="E76" s="784"/>
      <c r="F76" s="784"/>
      <c r="G76" s="784"/>
      <c r="H76" s="784"/>
      <c r="I76" s="784"/>
      <c r="J76" s="784"/>
      <c r="K76" s="29"/>
      <c r="L76" s="31"/>
    </row>
    <row r="77" spans="1:19" s="17" customFormat="1" ht="14.25" thickTop="1" thickBot="1">
      <c r="A77" s="725" t="s">
        <v>51</v>
      </c>
      <c r="B77" s="726"/>
      <c r="C77" s="726"/>
      <c r="D77" s="726"/>
      <c r="E77" s="726"/>
      <c r="F77" s="726"/>
      <c r="G77" s="726"/>
      <c r="H77" s="726"/>
      <c r="I77" s="726"/>
      <c r="J77" s="785"/>
      <c r="K77" s="29"/>
      <c r="L77" s="31"/>
    </row>
    <row r="78" spans="1:19" s="17" customFormat="1" ht="14.25" thickTop="1" thickBot="1">
      <c r="A78" s="725" t="s">
        <v>55</v>
      </c>
      <c r="B78" s="726"/>
      <c r="C78" s="726"/>
      <c r="D78" s="726"/>
      <c r="E78" s="726"/>
      <c r="F78" s="726"/>
      <c r="G78" s="726"/>
      <c r="H78" s="726"/>
      <c r="I78" s="727"/>
      <c r="J78" s="164" t="s">
        <v>1</v>
      </c>
      <c r="K78" s="29"/>
      <c r="L78" s="31"/>
    </row>
    <row r="79" spans="1:19" s="17" customFormat="1" ht="14.25" thickTop="1" thickBot="1">
      <c r="A79" s="175" t="s">
        <v>52</v>
      </c>
      <c r="B79" s="723" t="s">
        <v>42</v>
      </c>
      <c r="C79" s="724"/>
      <c r="D79" s="724"/>
      <c r="E79" s="724"/>
      <c r="F79" s="724"/>
      <c r="G79" s="724"/>
      <c r="H79" s="724"/>
      <c r="I79" s="724"/>
      <c r="J79" s="58">
        <f>J54</f>
        <v>600.88369790012985</v>
      </c>
      <c r="K79" s="29"/>
      <c r="L79" s="31"/>
    </row>
    <row r="80" spans="1:19" s="17" customFormat="1" ht="14.25" thickTop="1" thickBot="1">
      <c r="A80" s="77" t="s">
        <v>53</v>
      </c>
      <c r="B80" s="723" t="s">
        <v>44</v>
      </c>
      <c r="C80" s="724"/>
      <c r="D80" s="724"/>
      <c r="E80" s="724"/>
      <c r="F80" s="724"/>
      <c r="G80" s="724"/>
      <c r="H80" s="724"/>
      <c r="I80" s="724"/>
      <c r="J80" s="78">
        <f>J65</f>
        <v>1405.88</v>
      </c>
      <c r="K80" s="29"/>
      <c r="L80" s="31"/>
    </row>
    <row r="81" spans="1:12" s="17" customFormat="1" ht="14.25" thickTop="1" thickBot="1">
      <c r="A81" s="77" t="s">
        <v>54</v>
      </c>
      <c r="B81" s="747" t="s">
        <v>56</v>
      </c>
      <c r="C81" s="748"/>
      <c r="D81" s="748"/>
      <c r="E81" s="748"/>
      <c r="F81" s="748"/>
      <c r="G81" s="748"/>
      <c r="H81" s="748"/>
      <c r="I81" s="748"/>
      <c r="J81" s="78">
        <f>J75</f>
        <v>475.63</v>
      </c>
      <c r="K81" s="29"/>
      <c r="L81" s="31"/>
    </row>
    <row r="82" spans="1:12" s="17" customFormat="1" ht="14.25" thickTop="1" thickBot="1">
      <c r="A82" s="76"/>
      <c r="B82" s="773" t="s">
        <v>58</v>
      </c>
      <c r="C82" s="774"/>
      <c r="D82" s="774"/>
      <c r="E82" s="774"/>
      <c r="F82" s="774"/>
      <c r="G82" s="774"/>
      <c r="H82" s="774"/>
      <c r="I82" s="775"/>
      <c r="J82" s="129">
        <f>TRUNC(SUM(J79:J81),2)</f>
        <v>2482.39</v>
      </c>
      <c r="K82" s="29"/>
      <c r="L82" s="31"/>
    </row>
    <row r="83" spans="1:12" s="17" customFormat="1" ht="14.25" thickTop="1" thickBot="1">
      <c r="A83" s="750" t="s">
        <v>59</v>
      </c>
      <c r="B83" s="751"/>
      <c r="C83" s="751"/>
      <c r="D83" s="751"/>
      <c r="E83" s="751"/>
      <c r="F83" s="751"/>
      <c r="G83" s="751"/>
      <c r="H83" s="751"/>
      <c r="I83" s="751"/>
      <c r="J83" s="752"/>
      <c r="K83" s="29"/>
    </row>
    <row r="84" spans="1:12" s="17" customFormat="1" ht="14.25" thickTop="1" thickBot="1">
      <c r="A84" s="80">
        <v>3</v>
      </c>
      <c r="B84" s="744" t="s">
        <v>60</v>
      </c>
      <c r="C84" s="745"/>
      <c r="D84" s="745"/>
      <c r="E84" s="745"/>
      <c r="F84" s="745"/>
      <c r="G84" s="745"/>
      <c r="H84" s="745"/>
      <c r="I84" s="164" t="s">
        <v>3</v>
      </c>
      <c r="J84" s="166" t="s">
        <v>1</v>
      </c>
      <c r="K84" s="29"/>
    </row>
    <row r="85" spans="1:12" s="17" customFormat="1" ht="14.25" thickTop="1" thickBot="1">
      <c r="A85" s="80" t="s">
        <v>7</v>
      </c>
      <c r="B85" s="767" t="s">
        <v>101</v>
      </c>
      <c r="C85" s="768"/>
      <c r="D85" s="768"/>
      <c r="E85" s="768"/>
      <c r="F85" s="768"/>
      <c r="G85" s="768"/>
      <c r="H85" s="769"/>
      <c r="I85" s="81">
        <v>4.4999999999999997E-3</v>
      </c>
      <c r="J85" s="82">
        <f>J46*I85</f>
        <v>15.092068499999998</v>
      </c>
      <c r="K85" s="29"/>
      <c r="L85" s="33"/>
    </row>
    <row r="86" spans="1:12" s="17" customFormat="1" ht="14.25" thickTop="1" thickBot="1">
      <c r="A86" s="80" t="s">
        <v>8</v>
      </c>
      <c r="B86" s="723" t="s">
        <v>102</v>
      </c>
      <c r="C86" s="724"/>
      <c r="D86" s="724"/>
      <c r="E86" s="724"/>
      <c r="F86" s="724"/>
      <c r="G86" s="724"/>
      <c r="H86" s="728"/>
      <c r="I86" s="81">
        <f>I85*I64</f>
        <v>3.5999999999999997E-4</v>
      </c>
      <c r="J86" s="57">
        <f>I86*J46</f>
        <v>1.2073654799999998</v>
      </c>
      <c r="K86" s="29"/>
      <c r="L86" s="31"/>
    </row>
    <row r="87" spans="1:12" s="17" customFormat="1" ht="14.25" thickTop="1" thickBot="1">
      <c r="A87" s="80" t="s">
        <v>9</v>
      </c>
      <c r="B87" s="767" t="s">
        <v>103</v>
      </c>
      <c r="C87" s="768"/>
      <c r="D87" s="768"/>
      <c r="E87" s="768"/>
      <c r="F87" s="768"/>
      <c r="G87" s="768"/>
      <c r="H87" s="769"/>
      <c r="I87" s="81">
        <v>0.02</v>
      </c>
      <c r="J87" s="57">
        <f>I87*J45</f>
        <v>67.075859999999992</v>
      </c>
      <c r="K87" s="29"/>
      <c r="L87" s="33"/>
    </row>
    <row r="88" spans="1:12" s="17" customFormat="1" ht="14.25" thickTop="1" thickBot="1">
      <c r="A88" s="80" t="s">
        <v>10</v>
      </c>
      <c r="B88" s="723" t="s">
        <v>104</v>
      </c>
      <c r="C88" s="724"/>
      <c r="D88" s="724"/>
      <c r="E88" s="724"/>
      <c r="F88" s="724"/>
      <c r="G88" s="724"/>
      <c r="H88" s="728"/>
      <c r="I88" s="44">
        <v>1.9400000000000001E-2</v>
      </c>
      <c r="J88" s="57">
        <f>I88*J45</f>
        <v>65.063584199999994</v>
      </c>
      <c r="K88" s="29"/>
      <c r="L88" s="31"/>
    </row>
    <row r="89" spans="1:12" s="17" customFormat="1" ht="14.25" thickTop="1" thickBot="1">
      <c r="A89" s="80" t="s">
        <v>11</v>
      </c>
      <c r="B89" s="723" t="s">
        <v>105</v>
      </c>
      <c r="C89" s="724"/>
      <c r="D89" s="724"/>
      <c r="E89" s="724"/>
      <c r="F89" s="724"/>
      <c r="G89" s="724"/>
      <c r="H89" s="728"/>
      <c r="I89" s="83">
        <f>I65*I88</f>
        <v>6.8967000000000013E-3</v>
      </c>
      <c r="J89" s="57">
        <f>I89*J45</f>
        <v>23.130104183100002</v>
      </c>
      <c r="K89" s="29"/>
      <c r="L89" s="31"/>
    </row>
    <row r="90" spans="1:12" s="17" customFormat="1" ht="14.25" thickTop="1" thickBot="1">
      <c r="A90" s="80" t="s">
        <v>12</v>
      </c>
      <c r="B90" s="767" t="s">
        <v>106</v>
      </c>
      <c r="C90" s="768"/>
      <c r="D90" s="768"/>
      <c r="E90" s="768"/>
      <c r="F90" s="768"/>
      <c r="G90" s="768"/>
      <c r="H90" s="769"/>
      <c r="I90" s="81">
        <v>0.02</v>
      </c>
      <c r="J90" s="57">
        <f>I90*J45</f>
        <v>67.075859999999992</v>
      </c>
      <c r="K90" s="29"/>
      <c r="L90" s="33"/>
    </row>
    <row r="91" spans="1:12" s="17" customFormat="1" ht="14.25" thickTop="1" thickBot="1">
      <c r="A91" s="725" t="s">
        <v>61</v>
      </c>
      <c r="B91" s="726"/>
      <c r="C91" s="726"/>
      <c r="D91" s="726"/>
      <c r="E91" s="726"/>
      <c r="F91" s="726"/>
      <c r="G91" s="726"/>
      <c r="H91" s="727"/>
      <c r="I91" s="84">
        <f>SUM(I85:I90)</f>
        <v>7.1156700000000003E-2</v>
      </c>
      <c r="J91" s="60">
        <f>TRUNC(SUM(J85:J90),2)</f>
        <v>238.64</v>
      </c>
      <c r="K91" s="29"/>
      <c r="L91" s="31"/>
    </row>
    <row r="92" spans="1:12" s="17" customFormat="1" ht="13.5" thickTop="1">
      <c r="B92" s="770"/>
      <c r="C92" s="721"/>
      <c r="D92" s="721"/>
      <c r="E92" s="721"/>
      <c r="F92" s="721"/>
      <c r="G92" s="721"/>
      <c r="H92" s="721"/>
      <c r="I92" s="721"/>
      <c r="J92" s="721"/>
      <c r="K92" s="29"/>
    </row>
    <row r="93" spans="1:12" s="17" customFormat="1" ht="13.5" thickBot="1">
      <c r="A93" s="771" t="s">
        <v>62</v>
      </c>
      <c r="B93" s="771"/>
      <c r="C93" s="771"/>
      <c r="D93" s="771"/>
      <c r="E93" s="771"/>
      <c r="F93" s="771"/>
      <c r="G93" s="771"/>
      <c r="H93" s="771"/>
      <c r="I93" s="771"/>
      <c r="J93" s="772"/>
      <c r="K93" s="29"/>
    </row>
    <row r="94" spans="1:12" s="17" customFormat="1" ht="14.25" thickTop="1" thickBot="1">
      <c r="A94" s="744" t="s">
        <v>63</v>
      </c>
      <c r="B94" s="745"/>
      <c r="C94" s="745"/>
      <c r="D94" s="745"/>
      <c r="E94" s="745"/>
      <c r="F94" s="745"/>
      <c r="G94" s="745"/>
      <c r="H94" s="746"/>
      <c r="I94" s="113" t="s">
        <v>3</v>
      </c>
      <c r="J94" s="85" t="s">
        <v>1</v>
      </c>
      <c r="K94" s="29"/>
    </row>
    <row r="95" spans="1:12" s="17" customFormat="1" ht="14.25" thickTop="1" thickBot="1">
      <c r="A95" s="164" t="s">
        <v>7</v>
      </c>
      <c r="B95" s="743" t="s">
        <v>180</v>
      </c>
      <c r="C95" s="743"/>
      <c r="D95" s="743"/>
      <c r="E95" s="743"/>
      <c r="F95" s="743"/>
      <c r="G95" s="743"/>
      <c r="H95" s="743"/>
      <c r="I95" s="156" t="e">
        <f>#REF!</f>
        <v>#REF!</v>
      </c>
      <c r="J95" s="58" t="e">
        <f>$J$45*I95</f>
        <v>#REF!</v>
      </c>
      <c r="K95" s="29"/>
      <c r="L95" s="31"/>
    </row>
    <row r="96" spans="1:12" s="17" customFormat="1" ht="14.25" thickTop="1" thickBot="1">
      <c r="A96" s="46" t="s">
        <v>8</v>
      </c>
      <c r="B96" s="743" t="s">
        <v>181</v>
      </c>
      <c r="C96" s="743"/>
      <c r="D96" s="743"/>
      <c r="E96" s="743"/>
      <c r="F96" s="743"/>
      <c r="G96" s="743"/>
      <c r="H96" s="743"/>
      <c r="I96" s="125">
        <v>4.4999999999999997E-3</v>
      </c>
      <c r="J96" s="78">
        <f t="shared" ref="J96:J100" si="0">$J$45*I96</f>
        <v>15.092068499999998</v>
      </c>
      <c r="K96" s="29"/>
      <c r="L96" s="31"/>
    </row>
    <row r="97" spans="1:12" s="17" customFormat="1" ht="14.25" thickTop="1" thickBot="1">
      <c r="A97" s="46" t="s">
        <v>9</v>
      </c>
      <c r="B97" s="743" t="s">
        <v>182</v>
      </c>
      <c r="C97" s="743"/>
      <c r="D97" s="743"/>
      <c r="E97" s="743"/>
      <c r="F97" s="743"/>
      <c r="G97" s="743"/>
      <c r="H97" s="743"/>
      <c r="I97" s="125">
        <v>8.9999999999999998E-4</v>
      </c>
      <c r="J97" s="78">
        <f t="shared" si="0"/>
        <v>3.0184136999999995</v>
      </c>
      <c r="K97" s="29"/>
      <c r="L97" s="33"/>
    </row>
    <row r="98" spans="1:12" s="17" customFormat="1" ht="14.25" thickTop="1" thickBot="1">
      <c r="A98" s="46" t="s">
        <v>10</v>
      </c>
      <c r="B98" s="743" t="s">
        <v>183</v>
      </c>
      <c r="C98" s="743"/>
      <c r="D98" s="743"/>
      <c r="E98" s="743"/>
      <c r="F98" s="743"/>
      <c r="G98" s="743"/>
      <c r="H98" s="743"/>
      <c r="I98" s="125">
        <v>5.7000000000000002E-3</v>
      </c>
      <c r="J98" s="78">
        <f t="shared" si="0"/>
        <v>19.116620099999999</v>
      </c>
      <c r="K98" s="29"/>
      <c r="L98" s="33"/>
    </row>
    <row r="99" spans="1:12" s="17" customFormat="1" ht="14.25" thickTop="1" thickBot="1">
      <c r="A99" s="46" t="s">
        <v>11</v>
      </c>
      <c r="B99" s="743" t="s">
        <v>184</v>
      </c>
      <c r="C99" s="743"/>
      <c r="D99" s="743"/>
      <c r="E99" s="743"/>
      <c r="F99" s="743"/>
      <c r="G99" s="743"/>
      <c r="H99" s="743"/>
      <c r="I99" s="125">
        <v>2E-3</v>
      </c>
      <c r="J99" s="78">
        <f t="shared" si="0"/>
        <v>6.7075859999999992</v>
      </c>
      <c r="K99" s="29"/>
      <c r="L99" s="31"/>
    </row>
    <row r="100" spans="1:12" s="17" customFormat="1" ht="14.25" thickTop="1" thickBot="1">
      <c r="A100" s="46" t="s">
        <v>12</v>
      </c>
      <c r="B100" s="754" t="s">
        <v>165</v>
      </c>
      <c r="C100" s="755"/>
      <c r="D100" s="755"/>
      <c r="E100" s="755"/>
      <c r="F100" s="755"/>
      <c r="G100" s="755"/>
      <c r="H100" s="756"/>
      <c r="I100" s="125">
        <v>0</v>
      </c>
      <c r="J100" s="78">
        <f t="shared" si="0"/>
        <v>0</v>
      </c>
      <c r="K100" s="29"/>
      <c r="L100" s="31"/>
    </row>
    <row r="101" spans="1:12" s="17" customFormat="1" ht="14.25" thickTop="1" thickBot="1">
      <c r="A101" s="46"/>
      <c r="B101" s="753" t="s">
        <v>126</v>
      </c>
      <c r="C101" s="753"/>
      <c r="D101" s="753"/>
      <c r="E101" s="753"/>
      <c r="F101" s="753"/>
      <c r="G101" s="753"/>
      <c r="H101" s="753"/>
      <c r="I101" s="126" t="e">
        <f>SUM(I95:I100)</f>
        <v>#REF!</v>
      </c>
      <c r="J101" s="78" t="e">
        <f>SUM(J95:J100)</f>
        <v>#REF!</v>
      </c>
      <c r="K101" s="29"/>
      <c r="L101" s="31"/>
    </row>
    <row r="102" spans="1:12" s="17" customFormat="1" ht="13.5" customHeight="1" thickTop="1" thickBot="1">
      <c r="A102" s="198" t="s">
        <v>13</v>
      </c>
      <c r="B102" s="754" t="s">
        <v>165</v>
      </c>
      <c r="C102" s="755"/>
      <c r="D102" s="755"/>
      <c r="E102" s="755"/>
      <c r="F102" s="755"/>
      <c r="G102" s="755"/>
      <c r="H102" s="756"/>
      <c r="I102" s="87"/>
      <c r="J102" s="88"/>
      <c r="K102" s="29"/>
      <c r="L102" s="31"/>
    </row>
    <row r="103" spans="1:12" s="17" customFormat="1" ht="14.25" thickTop="1" thickBot="1">
      <c r="A103" s="763" t="s">
        <v>96</v>
      </c>
      <c r="B103" s="764"/>
      <c r="C103" s="764"/>
      <c r="D103" s="764"/>
      <c r="E103" s="764"/>
      <c r="F103" s="764"/>
      <c r="G103" s="764"/>
      <c r="H103" s="765"/>
      <c r="I103" s="91" t="e">
        <f>I101+I102</f>
        <v>#REF!</v>
      </c>
      <c r="J103" s="86" t="e">
        <f>J101+J102</f>
        <v>#REF!</v>
      </c>
      <c r="K103" s="29"/>
    </row>
    <row r="104" spans="1:12" s="17" customFormat="1" ht="14.25" thickTop="1" thickBot="1">
      <c r="A104" s="725" t="s">
        <v>17</v>
      </c>
      <c r="B104" s="726"/>
      <c r="C104" s="726"/>
      <c r="D104" s="726"/>
      <c r="E104" s="726"/>
      <c r="F104" s="726"/>
      <c r="G104" s="726"/>
      <c r="H104" s="726"/>
      <c r="I104" s="727"/>
      <c r="J104" s="90"/>
      <c r="K104" s="29"/>
    </row>
    <row r="105" spans="1:12" s="17" customFormat="1" ht="14.25" thickTop="1" thickBot="1">
      <c r="A105" s="766"/>
      <c r="B105" s="766"/>
      <c r="C105" s="766"/>
      <c r="D105" s="766"/>
      <c r="E105" s="766"/>
      <c r="F105" s="766"/>
      <c r="G105" s="766"/>
      <c r="H105" s="766"/>
      <c r="I105" s="766"/>
      <c r="J105" s="766"/>
      <c r="K105" s="29"/>
    </row>
    <row r="106" spans="1:12" s="17" customFormat="1" ht="14.25" thickTop="1" thickBot="1">
      <c r="A106" s="725" t="s">
        <v>65</v>
      </c>
      <c r="B106" s="726"/>
      <c r="C106" s="726"/>
      <c r="D106" s="726"/>
      <c r="E106" s="726"/>
      <c r="F106" s="726"/>
      <c r="G106" s="726"/>
      <c r="H106" s="726"/>
      <c r="I106" s="726"/>
      <c r="J106" s="727"/>
      <c r="K106" s="29"/>
    </row>
    <row r="107" spans="1:12" s="17" customFormat="1" ht="14.25" thickTop="1" thickBot="1">
      <c r="A107" s="763" t="s">
        <v>66</v>
      </c>
      <c r="B107" s="764"/>
      <c r="C107" s="764"/>
      <c r="D107" s="764"/>
      <c r="E107" s="764"/>
      <c r="F107" s="764"/>
      <c r="G107" s="764"/>
      <c r="H107" s="764"/>
      <c r="I107" s="765"/>
      <c r="J107" s="182" t="s">
        <v>1</v>
      </c>
      <c r="K107" s="29"/>
    </row>
    <row r="108" spans="1:12" s="17" customFormat="1" ht="14.25" thickTop="1" thickBot="1">
      <c r="A108" s="164" t="s">
        <v>19</v>
      </c>
      <c r="B108" s="173" t="s">
        <v>64</v>
      </c>
      <c r="C108" s="170"/>
      <c r="D108" s="171"/>
      <c r="E108" s="171"/>
      <c r="F108" s="171"/>
      <c r="G108" s="171"/>
      <c r="H108" s="171"/>
      <c r="I108" s="172"/>
      <c r="J108" s="58" t="e">
        <f>J103</f>
        <v>#REF!</v>
      </c>
      <c r="K108" s="29"/>
    </row>
    <row r="109" spans="1:12" s="17" customFormat="1" ht="14.25" thickTop="1" thickBot="1">
      <c r="A109" s="46" t="s">
        <v>20</v>
      </c>
      <c r="B109" s="754" t="s">
        <v>67</v>
      </c>
      <c r="C109" s="755"/>
      <c r="D109" s="755"/>
      <c r="E109" s="755"/>
      <c r="F109" s="755"/>
      <c r="G109" s="755"/>
      <c r="H109" s="755"/>
      <c r="I109" s="756"/>
      <c r="J109" s="130">
        <f>(J37+J38+J39)/220*1.5*15</f>
        <v>299.43337499999996</v>
      </c>
      <c r="K109" s="29">
        <v>21.6</v>
      </c>
    </row>
    <row r="110" spans="1:12" s="17" customFormat="1" ht="14.25" thickTop="1" thickBot="1">
      <c r="A110" s="757" t="s">
        <v>68</v>
      </c>
      <c r="B110" s="757"/>
      <c r="C110" s="757"/>
      <c r="D110" s="757"/>
      <c r="E110" s="757"/>
      <c r="F110" s="757"/>
      <c r="G110" s="757"/>
      <c r="H110" s="757"/>
      <c r="I110" s="758"/>
      <c r="J110" s="92" t="e">
        <f>TRUNC(SUM(J108:J109),2)</f>
        <v>#REF!</v>
      </c>
      <c r="K110" s="29"/>
    </row>
    <row r="111" spans="1:12" s="17" customFormat="1" ht="14.25" thickTop="1" thickBot="1">
      <c r="A111" s="759" t="s">
        <v>99</v>
      </c>
      <c r="B111" s="760"/>
      <c r="C111" s="760"/>
      <c r="D111" s="760"/>
      <c r="E111" s="760"/>
      <c r="F111" s="760"/>
      <c r="G111" s="760"/>
      <c r="H111" s="761"/>
      <c r="I111" s="93" t="e">
        <f>I103+I91+I65+I54</f>
        <v>#REF!</v>
      </c>
      <c r="J111" s="94" t="e">
        <f>J103+J91+J65+J54</f>
        <v>#REF!</v>
      </c>
      <c r="K111" s="29"/>
    </row>
    <row r="112" spans="1:12" s="17" customFormat="1" ht="14.25" thickTop="1" thickBot="1">
      <c r="A112" s="762"/>
      <c r="B112" s="762"/>
      <c r="C112" s="762"/>
      <c r="D112" s="762"/>
      <c r="E112" s="762"/>
      <c r="F112" s="762"/>
      <c r="G112" s="762"/>
      <c r="H112" s="762"/>
      <c r="I112" s="762"/>
      <c r="J112" s="762"/>
      <c r="K112" s="29"/>
    </row>
    <row r="113" spans="1:18" s="17" customFormat="1" ht="14.25" thickTop="1" thickBot="1">
      <c r="A113" s="750" t="s">
        <v>69</v>
      </c>
      <c r="B113" s="751"/>
      <c r="C113" s="751"/>
      <c r="D113" s="751"/>
      <c r="E113" s="751"/>
      <c r="F113" s="751"/>
      <c r="G113" s="751"/>
      <c r="H113" s="751"/>
      <c r="I113" s="751"/>
      <c r="J113" s="752"/>
      <c r="K113" s="29"/>
    </row>
    <row r="114" spans="1:18" s="17" customFormat="1" ht="14.25" thickTop="1" thickBot="1">
      <c r="A114" s="164">
        <v>5</v>
      </c>
      <c r="B114" s="161"/>
      <c r="C114" s="745" t="s">
        <v>16</v>
      </c>
      <c r="D114" s="745"/>
      <c r="E114" s="745"/>
      <c r="F114" s="745"/>
      <c r="G114" s="745"/>
      <c r="H114" s="745"/>
      <c r="I114" s="164"/>
      <c r="J114" s="164" t="s">
        <v>1</v>
      </c>
      <c r="K114" s="29"/>
    </row>
    <row r="115" spans="1:18" s="17" customFormat="1" ht="14.25" thickTop="1" thickBot="1">
      <c r="A115" s="164" t="s">
        <v>7</v>
      </c>
      <c r="B115" s="170" t="s">
        <v>107</v>
      </c>
      <c r="C115" s="171"/>
      <c r="D115" s="171"/>
      <c r="E115" s="171"/>
      <c r="F115" s="171"/>
      <c r="G115" s="171"/>
      <c r="H115" s="172"/>
      <c r="I115" s="165" t="s">
        <v>0</v>
      </c>
      <c r="J115" s="58">
        <f>'EQUIP-MAT '!F22</f>
        <v>68.366666666666674</v>
      </c>
      <c r="K115" s="29"/>
    </row>
    <row r="116" spans="1:18" s="17" customFormat="1" ht="14.25" thickTop="1" thickBot="1">
      <c r="A116" s="164" t="s">
        <v>8</v>
      </c>
      <c r="B116" s="170" t="s">
        <v>191</v>
      </c>
      <c r="C116" s="171"/>
      <c r="D116" s="171"/>
      <c r="E116" s="171"/>
      <c r="F116" s="171"/>
      <c r="G116" s="171"/>
      <c r="H116" s="172"/>
      <c r="I116" s="165" t="s">
        <v>0</v>
      </c>
      <c r="J116" s="58">
        <f>'EQUIP-MAT '!F32</f>
        <v>20.833333333333336</v>
      </c>
      <c r="K116" s="29"/>
    </row>
    <row r="117" spans="1:18" s="17" customFormat="1" ht="14.25" thickTop="1" thickBot="1">
      <c r="A117" s="95" t="s">
        <v>9</v>
      </c>
      <c r="B117" s="747" t="s">
        <v>192</v>
      </c>
      <c r="C117" s="748"/>
      <c r="D117" s="748"/>
      <c r="E117" s="748"/>
      <c r="F117" s="748"/>
      <c r="G117" s="748"/>
      <c r="H117" s="749"/>
      <c r="I117" s="165" t="s">
        <v>0</v>
      </c>
      <c r="J117" s="58">
        <v>0</v>
      </c>
      <c r="K117" s="29"/>
    </row>
    <row r="118" spans="1:18" s="17" customFormat="1" ht="14.25" thickTop="1" thickBot="1">
      <c r="A118" s="744" t="s">
        <v>70</v>
      </c>
      <c r="B118" s="745"/>
      <c r="C118" s="745"/>
      <c r="D118" s="745"/>
      <c r="E118" s="745"/>
      <c r="F118" s="745"/>
      <c r="G118" s="745"/>
      <c r="H118" s="746"/>
      <c r="I118" s="96" t="s">
        <v>0</v>
      </c>
      <c r="J118" s="60">
        <f>TRUNC(SUM(J115:J117),2)</f>
        <v>89.2</v>
      </c>
      <c r="K118" s="29"/>
    </row>
    <row r="119" spans="1:18" s="17" customFormat="1" ht="24" customHeight="1" thickTop="1" thickBot="1">
      <c r="A119" s="750" t="s">
        <v>71</v>
      </c>
      <c r="B119" s="751"/>
      <c r="C119" s="751"/>
      <c r="D119" s="751"/>
      <c r="E119" s="751"/>
      <c r="F119" s="751"/>
      <c r="G119" s="751"/>
      <c r="H119" s="751"/>
      <c r="I119" s="751"/>
      <c r="J119" s="752"/>
      <c r="K119" s="29"/>
    </row>
    <row r="120" spans="1:18" s="17" customFormat="1" ht="14.25" thickTop="1" thickBot="1">
      <c r="A120" s="164">
        <v>6</v>
      </c>
      <c r="B120" s="753" t="s">
        <v>18</v>
      </c>
      <c r="C120" s="753"/>
      <c r="D120" s="753"/>
      <c r="E120" s="753"/>
      <c r="F120" s="753"/>
      <c r="G120" s="753"/>
      <c r="H120" s="753"/>
      <c r="I120" s="164" t="s">
        <v>3</v>
      </c>
      <c r="J120" s="164" t="s">
        <v>1</v>
      </c>
      <c r="K120" s="29"/>
    </row>
    <row r="121" spans="1:18" s="17" customFormat="1" ht="14.25" thickTop="1" thickBot="1">
      <c r="A121" s="164" t="s">
        <v>7</v>
      </c>
      <c r="B121" s="743" t="s">
        <v>21</v>
      </c>
      <c r="C121" s="743"/>
      <c r="D121" s="743"/>
      <c r="E121" s="743"/>
      <c r="F121" s="743"/>
      <c r="G121" s="743"/>
      <c r="H121" s="743"/>
      <c r="I121" s="97" t="e">
        <f>#REF!</f>
        <v>#REF!</v>
      </c>
      <c r="J121" s="58" t="e">
        <f>TRUNC(I121*J146,2)</f>
        <v>#REF!</v>
      </c>
      <c r="K121" s="29"/>
      <c r="Q121" s="16"/>
      <c r="R121" s="128"/>
    </row>
    <row r="122" spans="1:18" s="17" customFormat="1" ht="14.25" thickTop="1" thickBot="1">
      <c r="A122" s="46" t="s">
        <v>8</v>
      </c>
      <c r="B122" s="743" t="s">
        <v>4</v>
      </c>
      <c r="C122" s="743"/>
      <c r="D122" s="743"/>
      <c r="E122" s="743"/>
      <c r="F122" s="743"/>
      <c r="G122" s="743"/>
      <c r="H122" s="743"/>
      <c r="I122" s="97">
        <v>1.37E-2</v>
      </c>
      <c r="J122" s="58" t="e">
        <f>TRUNC(I122*(J121+J146),2)</f>
        <v>#REF!</v>
      </c>
      <c r="Q122" s="16"/>
    </row>
    <row r="123" spans="1:18" s="17" customFormat="1" ht="14.25" thickTop="1" thickBot="1">
      <c r="A123" s="62" t="s">
        <v>9</v>
      </c>
      <c r="B123" s="742" t="s">
        <v>28</v>
      </c>
      <c r="C123" s="742"/>
      <c r="D123" s="742"/>
      <c r="E123" s="742"/>
      <c r="F123" s="742"/>
      <c r="G123" s="742"/>
      <c r="H123" s="742"/>
      <c r="I123" s="98"/>
      <c r="J123" s="99"/>
      <c r="K123" s="25"/>
    </row>
    <row r="124" spans="1:18" s="17" customFormat="1" ht="14.25" thickTop="1" thickBot="1">
      <c r="A124" s="46" t="s">
        <v>29</v>
      </c>
      <c r="B124" s="743" t="s">
        <v>82</v>
      </c>
      <c r="C124" s="743"/>
      <c r="D124" s="743"/>
      <c r="E124" s="743"/>
      <c r="F124" s="743"/>
      <c r="G124" s="743"/>
      <c r="H124" s="743"/>
      <c r="I124" s="100">
        <v>6.4999999999999997E-3</v>
      </c>
      <c r="J124" s="78" t="e">
        <f>TRUNC(I124*J135,2)</f>
        <v>#REF!</v>
      </c>
    </row>
    <row r="125" spans="1:18" s="17" customFormat="1" ht="14.25" thickTop="1" thickBot="1">
      <c r="A125" s="46" t="s">
        <v>29</v>
      </c>
      <c r="B125" s="743" t="s">
        <v>77</v>
      </c>
      <c r="C125" s="743"/>
      <c r="D125" s="743"/>
      <c r="E125" s="743"/>
      <c r="F125" s="743"/>
      <c r="G125" s="743"/>
      <c r="H125" s="743"/>
      <c r="I125" s="100">
        <v>0.03</v>
      </c>
      <c r="J125" s="78" t="e">
        <f>TRUNC(I125*J135,2)</f>
        <v>#REF!</v>
      </c>
      <c r="K125" s="25" t="e">
        <f>J153</f>
        <v>#REF!</v>
      </c>
      <c r="L125" s="16" t="e">
        <f>[1]RESUMO!#REF!</f>
        <v>#REF!</v>
      </c>
    </row>
    <row r="126" spans="1:18" s="17" customFormat="1" ht="14.25" thickTop="1" thickBot="1">
      <c r="A126" s="46" t="s">
        <v>30</v>
      </c>
      <c r="B126" s="743" t="s">
        <v>80</v>
      </c>
      <c r="C126" s="743"/>
      <c r="D126" s="743"/>
      <c r="E126" s="743"/>
      <c r="F126" s="743"/>
      <c r="G126" s="743"/>
      <c r="H126" s="743"/>
      <c r="I126" s="101" t="s">
        <v>79</v>
      </c>
      <c r="J126" s="78">
        <v>0</v>
      </c>
    </row>
    <row r="127" spans="1:18" s="17" customFormat="1" ht="14.25" thickTop="1" thickBot="1">
      <c r="A127" s="46" t="s">
        <v>31</v>
      </c>
      <c r="B127" s="743" t="s">
        <v>78</v>
      </c>
      <c r="C127" s="743"/>
      <c r="D127" s="743"/>
      <c r="E127" s="743"/>
      <c r="F127" s="743"/>
      <c r="G127" s="743"/>
      <c r="H127" s="743"/>
      <c r="I127" s="100">
        <v>0.05</v>
      </c>
      <c r="J127" s="78" t="e">
        <f>TRUNC(I127*J135,2)</f>
        <v>#REF!</v>
      </c>
    </row>
    <row r="128" spans="1:18" s="17" customFormat="1" ht="14.25" thickTop="1" thickBot="1">
      <c r="A128" s="744" t="s">
        <v>72</v>
      </c>
      <c r="B128" s="745"/>
      <c r="C128" s="745"/>
      <c r="D128" s="745"/>
      <c r="E128" s="745"/>
      <c r="F128" s="745"/>
      <c r="G128" s="745"/>
      <c r="H128" s="746"/>
      <c r="I128" s="181" t="e">
        <f>SUM(I121:I127)</f>
        <v>#REF!</v>
      </c>
      <c r="J128" s="79" t="e">
        <f>TRUNC(SUM(J121:J127),2)</f>
        <v>#REF!</v>
      </c>
      <c r="R128" s="127"/>
    </row>
    <row r="129" spans="1:12" s="17" customFormat="1" ht="14.25" thickTop="1" thickBot="1">
      <c r="B129" s="163"/>
      <c r="C129" s="734"/>
      <c r="D129" s="734"/>
      <c r="E129" s="734"/>
      <c r="F129" s="734"/>
      <c r="G129" s="734"/>
      <c r="H129" s="734"/>
      <c r="I129" s="734"/>
      <c r="J129" s="734"/>
    </row>
    <row r="130" spans="1:12" s="17" customFormat="1" ht="13.5" thickTop="1">
      <c r="A130" s="102" t="s">
        <v>32</v>
      </c>
      <c r="B130" s="169"/>
      <c r="C130" s="735" t="s">
        <v>33</v>
      </c>
      <c r="D130" s="735"/>
      <c r="E130" s="735"/>
      <c r="F130" s="735"/>
      <c r="G130" s="735"/>
      <c r="H130" s="736"/>
      <c r="I130" s="737">
        <f>TRUNC(I124+I125+I127,4)</f>
        <v>8.6499999999999994E-2</v>
      </c>
      <c r="J130" s="738"/>
    </row>
    <row r="131" spans="1:12" s="17" customFormat="1" ht="13.5" thickBot="1">
      <c r="A131" s="103"/>
      <c r="B131" s="148"/>
      <c r="C131" s="741">
        <v>100</v>
      </c>
      <c r="D131" s="732"/>
      <c r="E131" s="732"/>
      <c r="F131" s="732"/>
      <c r="G131" s="732"/>
      <c r="H131" s="733"/>
      <c r="I131" s="739"/>
      <c r="J131" s="740"/>
      <c r="L131" s="21"/>
    </row>
    <row r="132" spans="1:12" s="17" customFormat="1" ht="13.5" thickTop="1">
      <c r="A132" s="104"/>
      <c r="B132" s="105"/>
      <c r="C132" s="178"/>
      <c r="D132" s="178"/>
      <c r="E132" s="178"/>
      <c r="F132" s="178"/>
      <c r="G132" s="178"/>
      <c r="H132" s="179"/>
      <c r="I132" s="180"/>
      <c r="J132" s="106"/>
    </row>
    <row r="133" spans="1:12" s="17" customFormat="1" ht="13.5" thickBot="1">
      <c r="A133" s="103" t="s">
        <v>34</v>
      </c>
      <c r="B133" s="148"/>
      <c r="C133" s="732" t="s">
        <v>73</v>
      </c>
      <c r="D133" s="732"/>
      <c r="E133" s="732"/>
      <c r="F133" s="732"/>
      <c r="G133" s="732"/>
      <c r="H133" s="733"/>
      <c r="I133" s="181"/>
      <c r="J133" s="111" t="e">
        <f>TRUNC(J146+J121+J122,2)</f>
        <v>#REF!</v>
      </c>
      <c r="L133" s="34"/>
    </row>
    <row r="134" spans="1:12" s="17" customFormat="1" ht="13.5" thickTop="1">
      <c r="A134" s="102"/>
      <c r="B134" s="169"/>
      <c r="C134" s="178"/>
      <c r="D134" s="178"/>
      <c r="E134" s="178"/>
      <c r="F134" s="178"/>
      <c r="G134" s="178"/>
      <c r="H134" s="179"/>
      <c r="I134" s="180"/>
      <c r="J134" s="112"/>
    </row>
    <row r="135" spans="1:12" s="17" customFormat="1" ht="13.5" thickBot="1">
      <c r="A135" s="103" t="s">
        <v>35</v>
      </c>
      <c r="B135" s="148"/>
      <c r="C135" s="732" t="s">
        <v>36</v>
      </c>
      <c r="D135" s="732"/>
      <c r="E135" s="732"/>
      <c r="F135" s="732"/>
      <c r="G135" s="732"/>
      <c r="H135" s="733"/>
      <c r="I135" s="181"/>
      <c r="J135" s="111" t="e">
        <f>J133/(1-I130)</f>
        <v>#REF!</v>
      </c>
    </row>
    <row r="136" spans="1:12" s="17" customFormat="1" ht="13.5" thickTop="1">
      <c r="A136" s="174"/>
      <c r="B136" s="169"/>
      <c r="C136" s="178"/>
      <c r="D136" s="178"/>
      <c r="E136" s="178"/>
      <c r="F136" s="178"/>
      <c r="G136" s="178"/>
      <c r="H136" s="179"/>
      <c r="I136" s="180"/>
      <c r="J136" s="112"/>
    </row>
    <row r="137" spans="1:12" s="17" customFormat="1" ht="13.5" thickBot="1">
      <c r="B137" s="148"/>
      <c r="C137" s="732" t="s">
        <v>37</v>
      </c>
      <c r="D137" s="732"/>
      <c r="E137" s="732"/>
      <c r="F137" s="732"/>
      <c r="G137" s="732"/>
      <c r="H137" s="733"/>
      <c r="I137" s="181"/>
      <c r="J137" s="111" t="e">
        <f>TRUNC(J135-J133,2)</f>
        <v>#REF!</v>
      </c>
      <c r="L137" s="34"/>
    </row>
    <row r="138" spans="1:12" s="17" customFormat="1" ht="14.25" thickTop="1" thickBot="1">
      <c r="B138" s="163"/>
      <c r="C138" s="163"/>
      <c r="D138" s="163"/>
      <c r="E138" s="163"/>
      <c r="F138" s="163"/>
      <c r="G138" s="163"/>
      <c r="H138" s="163"/>
      <c r="I138" s="163"/>
      <c r="J138" s="35"/>
      <c r="L138" s="34"/>
    </row>
    <row r="139" spans="1:12" s="17" customFormat="1" ht="14.25" thickTop="1" thickBot="1">
      <c r="A139" s="725" t="s">
        <v>83</v>
      </c>
      <c r="B139" s="726"/>
      <c r="C139" s="726"/>
      <c r="D139" s="726"/>
      <c r="E139" s="726"/>
      <c r="F139" s="726"/>
      <c r="G139" s="726"/>
      <c r="H139" s="726"/>
      <c r="I139" s="726"/>
      <c r="J139" s="727"/>
    </row>
    <row r="140" spans="1:12" s="17" customFormat="1" ht="14.25" thickTop="1" thickBot="1">
      <c r="A140" s="721" t="s">
        <v>22</v>
      </c>
      <c r="B140" s="721"/>
      <c r="C140" s="721"/>
      <c r="D140" s="721"/>
      <c r="E140" s="721"/>
      <c r="F140" s="721"/>
      <c r="G140" s="721"/>
      <c r="H140" s="721"/>
      <c r="I140" s="721"/>
      <c r="J140" s="164" t="s">
        <v>1</v>
      </c>
      <c r="L140" s="21"/>
    </row>
    <row r="141" spans="1:12" s="17" customFormat="1" ht="14.25" thickTop="1" thickBot="1">
      <c r="A141" s="165" t="s">
        <v>7</v>
      </c>
      <c r="B141" s="723" t="str">
        <f>A35</f>
        <v>MÓDULO 1 - COMPOSIÇÃO DA REMUNERAÇÃO</v>
      </c>
      <c r="C141" s="724"/>
      <c r="D141" s="724"/>
      <c r="E141" s="724"/>
      <c r="F141" s="724"/>
      <c r="G141" s="724"/>
      <c r="H141" s="724"/>
      <c r="I141" s="724"/>
      <c r="J141" s="114">
        <f>J46</f>
        <v>3353.7929999999997</v>
      </c>
    </row>
    <row r="142" spans="1:12" s="17" customFormat="1" ht="14.25" thickTop="1" thickBot="1">
      <c r="A142" s="89" t="s">
        <v>8</v>
      </c>
      <c r="B142" s="723" t="str">
        <f>A49</f>
        <v>MÓDULO 2 – ENCARGOS E BENEFÍCIOS ANUAIS, MENSAIS E DIÁRIOS</v>
      </c>
      <c r="C142" s="724"/>
      <c r="D142" s="724"/>
      <c r="E142" s="724"/>
      <c r="F142" s="724"/>
      <c r="G142" s="724"/>
      <c r="H142" s="724"/>
      <c r="I142" s="724"/>
      <c r="J142" s="115">
        <f>J82</f>
        <v>2482.39</v>
      </c>
    </row>
    <row r="143" spans="1:12" s="17" customFormat="1" ht="14.25" thickTop="1" thickBot="1">
      <c r="A143" s="89" t="s">
        <v>9</v>
      </c>
      <c r="B143" s="723" t="str">
        <f>A83</f>
        <v>MÓDULO 3 – PROVISÃO PARA RESCISÃO</v>
      </c>
      <c r="C143" s="724"/>
      <c r="D143" s="724"/>
      <c r="E143" s="724"/>
      <c r="F143" s="724"/>
      <c r="G143" s="724"/>
      <c r="H143" s="724"/>
      <c r="I143" s="724"/>
      <c r="J143" s="115">
        <f>J91</f>
        <v>238.64</v>
      </c>
    </row>
    <row r="144" spans="1:12" s="17" customFormat="1" ht="14.25" thickTop="1" thickBot="1">
      <c r="A144" s="165" t="s">
        <v>10</v>
      </c>
      <c r="B144" s="723" t="str">
        <f>A93</f>
        <v>MÓDULO 4 – CUSTO DE REPOSIÇÃO DO PROFISSIONAL AUSENTE</v>
      </c>
      <c r="C144" s="724"/>
      <c r="D144" s="724"/>
      <c r="E144" s="724"/>
      <c r="F144" s="724"/>
      <c r="G144" s="724"/>
      <c r="H144" s="724"/>
      <c r="I144" s="724"/>
      <c r="J144" s="115" t="e">
        <f>J110</f>
        <v>#REF!</v>
      </c>
    </row>
    <row r="145" spans="1:17" s="17" customFormat="1" ht="14.25" thickTop="1" thickBot="1">
      <c r="A145" s="107" t="s">
        <v>11</v>
      </c>
      <c r="B145" s="723" t="str">
        <f>A113</f>
        <v>MÓDULO 5 – INSUMOS DIVERSOS</v>
      </c>
      <c r="C145" s="724"/>
      <c r="D145" s="724"/>
      <c r="E145" s="724"/>
      <c r="F145" s="724"/>
      <c r="G145" s="724"/>
      <c r="H145" s="724"/>
      <c r="I145" s="724"/>
      <c r="J145" s="115">
        <f>J118</f>
        <v>89.2</v>
      </c>
    </row>
    <row r="146" spans="1:17" s="17" customFormat="1" ht="14.25" thickTop="1" thickBot="1">
      <c r="A146" s="725" t="s">
        <v>74</v>
      </c>
      <c r="B146" s="726"/>
      <c r="C146" s="726"/>
      <c r="D146" s="726"/>
      <c r="E146" s="726"/>
      <c r="F146" s="726"/>
      <c r="G146" s="726"/>
      <c r="H146" s="726"/>
      <c r="I146" s="727"/>
      <c r="J146" s="116" t="e">
        <f>TRUNC(SUM(J141:J145),2)</f>
        <v>#REF!</v>
      </c>
    </row>
    <row r="147" spans="1:17" s="17" customFormat="1" ht="14.25" thickTop="1" thickBot="1">
      <c r="A147" s="165" t="s">
        <v>13</v>
      </c>
      <c r="B147" s="723" t="str">
        <f>A119</f>
        <v>MÓDULO 6 – CUSTOS INDIRETOS, TRIBUTOS E LUCRO</v>
      </c>
      <c r="C147" s="724"/>
      <c r="D147" s="724"/>
      <c r="E147" s="724"/>
      <c r="F147" s="724"/>
      <c r="G147" s="724"/>
      <c r="H147" s="724"/>
      <c r="I147" s="728"/>
      <c r="J147" s="114" t="e">
        <f>J128</f>
        <v>#REF!</v>
      </c>
    </row>
    <row r="148" spans="1:17" s="17" customFormat="1" ht="14.25" thickTop="1" thickBot="1">
      <c r="A148" s="729" t="s">
        <v>75</v>
      </c>
      <c r="B148" s="730"/>
      <c r="C148" s="730"/>
      <c r="D148" s="730"/>
      <c r="E148" s="730"/>
      <c r="F148" s="730"/>
      <c r="G148" s="730"/>
      <c r="H148" s="730"/>
      <c r="I148" s="731"/>
      <c r="J148" s="117" t="e">
        <f>(J146+J122+J121)/0.9135</f>
        <v>#REF!</v>
      </c>
      <c r="K148" s="16"/>
      <c r="L148" s="34">
        <v>4822.8100000000004</v>
      </c>
    </row>
    <row r="149" spans="1:17" s="17" customFormat="1" ht="14.25" thickTop="1" thickBot="1">
      <c r="A149" s="717" t="s">
        <v>100</v>
      </c>
      <c r="B149" s="718"/>
      <c r="C149" s="718"/>
      <c r="D149" s="718"/>
      <c r="E149" s="718"/>
      <c r="F149" s="718"/>
      <c r="G149" s="718"/>
      <c r="H149" s="718"/>
      <c r="I149" s="719"/>
      <c r="J149" s="117">
        <v>2</v>
      </c>
      <c r="L149" s="36">
        <v>7</v>
      </c>
    </row>
    <row r="150" spans="1:17" s="17" customFormat="1" ht="14.25" thickTop="1" thickBot="1">
      <c r="A150" s="717" t="s">
        <v>143</v>
      </c>
      <c r="B150" s="718"/>
      <c r="C150" s="718"/>
      <c r="D150" s="718"/>
      <c r="E150" s="718"/>
      <c r="F150" s="718"/>
      <c r="G150" s="718"/>
      <c r="H150" s="718"/>
      <c r="I150" s="719"/>
      <c r="J150" s="117" t="e">
        <f>J148*J149</f>
        <v>#REF!</v>
      </c>
      <c r="L150" s="34">
        <f>L148*L149</f>
        <v>33759.670000000006</v>
      </c>
    </row>
    <row r="151" spans="1:17" s="17" customFormat="1" ht="14.25" thickTop="1" thickBot="1">
      <c r="A151" s="717" t="s">
        <v>122</v>
      </c>
      <c r="B151" s="718"/>
      <c r="C151" s="718"/>
      <c r="D151" s="718"/>
      <c r="E151" s="718"/>
      <c r="F151" s="718"/>
      <c r="G151" s="718"/>
      <c r="H151" s="718"/>
      <c r="I151" s="719"/>
      <c r="J151" s="117">
        <v>1</v>
      </c>
      <c r="L151" s="34"/>
    </row>
    <row r="152" spans="1:17" s="17" customFormat="1" ht="14.25" thickTop="1" thickBot="1">
      <c r="A152" s="717" t="s">
        <v>144</v>
      </c>
      <c r="B152" s="718"/>
      <c r="C152" s="718"/>
      <c r="D152" s="718"/>
      <c r="E152" s="718"/>
      <c r="F152" s="718"/>
      <c r="G152" s="718"/>
      <c r="H152" s="718"/>
      <c r="I152" s="719"/>
      <c r="J152" s="117" t="e">
        <f>J150*J151</f>
        <v>#REF!</v>
      </c>
      <c r="L152" s="34"/>
    </row>
    <row r="153" spans="1:17" s="17" customFormat="1" ht="14.25" thickTop="1" thickBot="1">
      <c r="A153" s="717" t="s">
        <v>145</v>
      </c>
      <c r="B153" s="718"/>
      <c r="C153" s="718"/>
      <c r="D153" s="718"/>
      <c r="E153" s="718"/>
      <c r="F153" s="718"/>
      <c r="G153" s="718"/>
      <c r="H153" s="718"/>
      <c r="I153" s="719"/>
      <c r="J153" s="117" t="e">
        <f>J152*12</f>
        <v>#REF!</v>
      </c>
      <c r="L153" s="34">
        <f>L150*12</f>
        <v>405116.04000000004</v>
      </c>
    </row>
    <row r="154" spans="1:17" s="17" customFormat="1" ht="13.5" thickTop="1">
      <c r="A154" s="105"/>
      <c r="B154" s="108"/>
      <c r="C154" s="108"/>
      <c r="D154" s="108"/>
      <c r="E154" s="108"/>
      <c r="F154" s="108"/>
      <c r="G154" s="108"/>
      <c r="H154" s="108"/>
      <c r="I154" s="108"/>
      <c r="J154" s="109"/>
      <c r="Q154" s="25"/>
    </row>
    <row r="155" spans="1:17" s="17" customFormat="1" ht="15" customHeight="1">
      <c r="A155" s="720" t="s">
        <v>168</v>
      </c>
      <c r="B155" s="721"/>
      <c r="C155" s="721"/>
      <c r="D155" s="721"/>
      <c r="E155" s="721"/>
      <c r="F155" s="721"/>
      <c r="G155" s="721"/>
      <c r="H155" s="721"/>
      <c r="I155" s="721"/>
      <c r="J155" s="722"/>
    </row>
    <row r="156" spans="1:17" s="17" customFormat="1" ht="12.75">
      <c r="A156" s="720" t="s">
        <v>169</v>
      </c>
      <c r="B156" s="721"/>
      <c r="C156" s="721"/>
      <c r="D156" s="721"/>
      <c r="E156" s="721"/>
      <c r="F156" s="721"/>
      <c r="G156" s="721"/>
      <c r="H156" s="721"/>
      <c r="I156" s="721"/>
      <c r="J156" s="722"/>
    </row>
    <row r="157" spans="1:17" s="17" customFormat="1" ht="35.25" customHeight="1" thickBot="1">
      <c r="A157" s="110"/>
      <c r="B157" s="153"/>
      <c r="C157" s="153"/>
      <c r="D157" s="153"/>
      <c r="E157" s="153"/>
      <c r="F157" s="153"/>
      <c r="G157" s="153"/>
      <c r="H157" s="153"/>
      <c r="I157" s="153"/>
      <c r="J157" s="154"/>
    </row>
    <row r="158" spans="1:17" ht="15.75" thickTop="1"/>
  </sheetData>
  <mergeCells count="144">
    <mergeCell ref="G11:J11"/>
    <mergeCell ref="G12:J12"/>
    <mergeCell ref="G13:J13"/>
    <mergeCell ref="A14:J14"/>
    <mergeCell ref="A15:J15"/>
    <mergeCell ref="G16:J16"/>
    <mergeCell ref="A4:J4"/>
    <mergeCell ref="A6:J6"/>
    <mergeCell ref="A7:E7"/>
    <mergeCell ref="A8:J8"/>
    <mergeCell ref="A9:J9"/>
    <mergeCell ref="G10:J10"/>
    <mergeCell ref="A24:F24"/>
    <mergeCell ref="H24:J24"/>
    <mergeCell ref="A26:J26"/>
    <mergeCell ref="A28:J28"/>
    <mergeCell ref="B29:G29"/>
    <mergeCell ref="B30:I30"/>
    <mergeCell ref="G17:J17"/>
    <mergeCell ref="G18:J18"/>
    <mergeCell ref="G19:J19"/>
    <mergeCell ref="A21:J21"/>
    <mergeCell ref="A23:F23"/>
    <mergeCell ref="H23:J23"/>
    <mergeCell ref="B37:H37"/>
    <mergeCell ref="B38:H38"/>
    <mergeCell ref="B39:H39"/>
    <mergeCell ref="B40:H40"/>
    <mergeCell ref="C41:H41"/>
    <mergeCell ref="C42:H42"/>
    <mergeCell ref="B31:I31"/>
    <mergeCell ref="B32:I32"/>
    <mergeCell ref="B33:I33"/>
    <mergeCell ref="B34:J34"/>
    <mergeCell ref="A35:J35"/>
    <mergeCell ref="B36:H36"/>
    <mergeCell ref="B51:H51"/>
    <mergeCell ref="B52:H52"/>
    <mergeCell ref="B53:H53"/>
    <mergeCell ref="A54:H54"/>
    <mergeCell ref="A55:J55"/>
    <mergeCell ref="A56:H56"/>
    <mergeCell ref="C43:H43"/>
    <mergeCell ref="B44:H44"/>
    <mergeCell ref="A45:I45"/>
    <mergeCell ref="A46:I46"/>
    <mergeCell ref="A49:J49"/>
    <mergeCell ref="A50:H50"/>
    <mergeCell ref="B63:H63"/>
    <mergeCell ref="B64:H64"/>
    <mergeCell ref="A65:H65"/>
    <mergeCell ref="B66:J66"/>
    <mergeCell ref="A67:H67"/>
    <mergeCell ref="I67:J67"/>
    <mergeCell ref="B57:H57"/>
    <mergeCell ref="B58:H58"/>
    <mergeCell ref="B59:H59"/>
    <mergeCell ref="B60:H60"/>
    <mergeCell ref="B61:H61"/>
    <mergeCell ref="B62:H62"/>
    <mergeCell ref="B72:H72"/>
    <mergeCell ref="B73:H73"/>
    <mergeCell ref="B74:H74"/>
    <mergeCell ref="A75:I75"/>
    <mergeCell ref="B76:J76"/>
    <mergeCell ref="A77:J77"/>
    <mergeCell ref="A68:A69"/>
    <mergeCell ref="B68:D69"/>
    <mergeCell ref="I68:I69"/>
    <mergeCell ref="J68:J69"/>
    <mergeCell ref="B70:H70"/>
    <mergeCell ref="B71:H71"/>
    <mergeCell ref="B84:H84"/>
    <mergeCell ref="B85:H85"/>
    <mergeCell ref="B86:H86"/>
    <mergeCell ref="B87:H87"/>
    <mergeCell ref="B88:H88"/>
    <mergeCell ref="B89:H89"/>
    <mergeCell ref="A78:I78"/>
    <mergeCell ref="B79:I79"/>
    <mergeCell ref="B80:I80"/>
    <mergeCell ref="B81:I81"/>
    <mergeCell ref="B82:I82"/>
    <mergeCell ref="A83:J83"/>
    <mergeCell ref="B96:H96"/>
    <mergeCell ref="B97:H97"/>
    <mergeCell ref="B98:H98"/>
    <mergeCell ref="B99:H99"/>
    <mergeCell ref="B100:H100"/>
    <mergeCell ref="B101:H101"/>
    <mergeCell ref="B90:H90"/>
    <mergeCell ref="A91:H91"/>
    <mergeCell ref="B92:J92"/>
    <mergeCell ref="A93:J93"/>
    <mergeCell ref="A94:H94"/>
    <mergeCell ref="B95:H95"/>
    <mergeCell ref="B109:I109"/>
    <mergeCell ref="A110:I110"/>
    <mergeCell ref="A111:H111"/>
    <mergeCell ref="A112:J112"/>
    <mergeCell ref="A113:J113"/>
    <mergeCell ref="C114:H114"/>
    <mergeCell ref="B102:H102"/>
    <mergeCell ref="A103:H103"/>
    <mergeCell ref="A104:I104"/>
    <mergeCell ref="A105:J105"/>
    <mergeCell ref="A106:J106"/>
    <mergeCell ref="A107:I107"/>
    <mergeCell ref="B123:H123"/>
    <mergeCell ref="B124:H124"/>
    <mergeCell ref="B125:H125"/>
    <mergeCell ref="B126:H126"/>
    <mergeCell ref="B127:H127"/>
    <mergeCell ref="A128:H128"/>
    <mergeCell ref="B117:H117"/>
    <mergeCell ref="A118:H118"/>
    <mergeCell ref="A119:J119"/>
    <mergeCell ref="B120:H120"/>
    <mergeCell ref="B121:H121"/>
    <mergeCell ref="B122:H122"/>
    <mergeCell ref="C137:H137"/>
    <mergeCell ref="A139:J139"/>
    <mergeCell ref="A140:I140"/>
    <mergeCell ref="B141:I141"/>
    <mergeCell ref="B142:I142"/>
    <mergeCell ref="B143:I143"/>
    <mergeCell ref="C129:J129"/>
    <mergeCell ref="C130:H130"/>
    <mergeCell ref="I130:J131"/>
    <mergeCell ref="C131:H131"/>
    <mergeCell ref="C133:H133"/>
    <mergeCell ref="C135:H135"/>
    <mergeCell ref="A150:I150"/>
    <mergeCell ref="A151:I151"/>
    <mergeCell ref="A152:I152"/>
    <mergeCell ref="A153:I153"/>
    <mergeCell ref="A155:J155"/>
    <mergeCell ref="A156:J156"/>
    <mergeCell ref="B144:I144"/>
    <mergeCell ref="B145:I145"/>
    <mergeCell ref="A146:I146"/>
    <mergeCell ref="B147:I147"/>
    <mergeCell ref="A148:I148"/>
    <mergeCell ref="A149:I149"/>
  </mergeCells>
  <printOptions horizontalCentered="1" verticalCentered="1"/>
  <pageMargins left="0.51181102362204722" right="0.51181102362204722" top="7.874015748031496E-2" bottom="0.78740157480314965" header="0.31496062992125984" footer="0.31496062992125984"/>
  <pageSetup paperSize="9" scale="64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B1:R153"/>
  <sheetViews>
    <sheetView view="pageBreakPreview" topLeftCell="A102" zoomScaleNormal="55" zoomScaleSheetLayoutView="100" workbookViewId="0">
      <selection activeCell="C111" sqref="C111:I111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31.140625" style="236" customWidth="1"/>
    <col min="8" max="8" width="22" style="236" customWidth="1"/>
    <col min="9" max="9" width="7.7109375" style="236" customWidth="1"/>
    <col min="10" max="10" width="13.140625" style="236" customWidth="1"/>
    <col min="11" max="11" width="17.5703125" style="236" customWidth="1"/>
    <col min="12" max="12" width="8.140625" style="2" bestFit="1" customWidth="1"/>
    <col min="13" max="13" width="40.85546875" style="503" customWidth="1"/>
    <col min="14" max="14" width="13.85546875" style="504" customWidth="1"/>
    <col min="15" max="15" width="18" style="504" bestFit="1" customWidth="1"/>
    <col min="16" max="16" width="21.42578125" style="504" customWidth="1"/>
    <col min="17" max="17" width="18.5703125" style="504" customWidth="1"/>
    <col min="18" max="18" width="9.5703125" style="2" bestFit="1" customWidth="1"/>
    <col min="19" max="16384" width="9.140625" style="2"/>
  </cols>
  <sheetData>
    <row r="1" spans="2:17" s="6" customFormat="1" ht="14.45" customHeight="1">
      <c r="B1" s="987"/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/>
      <c r="N1" s="988"/>
      <c r="O1" s="988"/>
      <c r="P1" s="988"/>
      <c r="Q1" s="988"/>
    </row>
    <row r="2" spans="2:17" s="6" customFormat="1" ht="12.75">
      <c r="B2" s="989"/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7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/>
      <c r="K3" s="343"/>
      <c r="L3" s="5"/>
      <c r="M3" s="997"/>
      <c r="N3" s="997"/>
      <c r="O3" s="997"/>
      <c r="P3" s="997"/>
      <c r="Q3" s="997"/>
    </row>
    <row r="4" spans="2:17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7" s="6" customFormat="1" ht="17.25" customHeight="1">
      <c r="B5" s="1014" t="s">
        <v>353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7" s="6" customFormat="1" ht="12.75">
      <c r="B6" s="614" t="s">
        <v>128</v>
      </c>
      <c r="C6" s="313" t="s">
        <v>129</v>
      </c>
      <c r="D6" s="314"/>
      <c r="E6" s="314"/>
      <c r="F6" s="314"/>
      <c r="G6" s="314"/>
      <c r="H6" s="1015">
        <v>44503</v>
      </c>
      <c r="I6" s="1015"/>
      <c r="J6" s="1015"/>
      <c r="K6" s="1015"/>
      <c r="L6" s="5"/>
      <c r="M6" s="591" t="s">
        <v>356</v>
      </c>
      <c r="N6" s="322">
        <v>4</v>
      </c>
      <c r="O6" s="510">
        <v>20</v>
      </c>
      <c r="P6" s="322">
        <v>0</v>
      </c>
      <c r="Q6" s="592">
        <f t="shared" ref="Q6:Q12" si="0">N6*O6</f>
        <v>80</v>
      </c>
    </row>
    <row r="7" spans="2:17" s="6" customFormat="1" ht="12.75">
      <c r="B7" s="614" t="s">
        <v>8</v>
      </c>
      <c r="C7" s="1001" t="s">
        <v>130</v>
      </c>
      <c r="D7" s="1002"/>
      <c r="E7" s="1002"/>
      <c r="F7" s="1002"/>
      <c r="G7" s="1003"/>
      <c r="H7" s="1015" t="s">
        <v>377</v>
      </c>
      <c r="I7" s="1015"/>
      <c r="J7" s="1015"/>
      <c r="K7" s="1015"/>
      <c r="L7" s="5"/>
      <c r="M7" s="591" t="s">
        <v>357</v>
      </c>
      <c r="N7" s="322">
        <v>4</v>
      </c>
      <c r="O7" s="510">
        <v>15</v>
      </c>
      <c r="P7" s="322">
        <v>0</v>
      </c>
      <c r="Q7" s="592">
        <f t="shared" si="0"/>
        <v>60</v>
      </c>
    </row>
    <row r="8" spans="2:17" s="6" customFormat="1" ht="12.75">
      <c r="B8" s="614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50</v>
      </c>
      <c r="P8" s="322">
        <v>0</v>
      </c>
      <c r="Q8" s="592">
        <f t="shared" si="0"/>
        <v>100</v>
      </c>
    </row>
    <row r="9" spans="2:17" s="6" customFormat="1" ht="12.75">
      <c r="B9" s="614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4</v>
      </c>
      <c r="O9" s="510">
        <v>5</v>
      </c>
      <c r="P9" s="322">
        <v>0</v>
      </c>
      <c r="Q9" s="592">
        <f t="shared" si="0"/>
        <v>20</v>
      </c>
    </row>
    <row r="10" spans="2:17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10</v>
      </c>
      <c r="P10" s="322">
        <v>0</v>
      </c>
      <c r="Q10" s="592">
        <f t="shared" si="0"/>
        <v>20</v>
      </c>
    </row>
    <row r="11" spans="2:17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358</v>
      </c>
      <c r="N11" s="322">
        <v>2</v>
      </c>
      <c r="O11" s="510">
        <v>8</v>
      </c>
      <c r="P11" s="322">
        <v>0</v>
      </c>
      <c r="Q11" s="592">
        <f t="shared" si="0"/>
        <v>16</v>
      </c>
    </row>
    <row r="12" spans="2:17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12 horas diurnas 12x36 de segunda a domingo</v>
      </c>
      <c r="I12" s="1010"/>
      <c r="J12" s="1010"/>
      <c r="K12" s="1010"/>
      <c r="L12" s="5"/>
      <c r="M12" s="591" t="s">
        <v>359</v>
      </c>
      <c r="N12" s="322">
        <v>2</v>
      </c>
      <c r="O12" s="510">
        <v>10</v>
      </c>
      <c r="P12" s="322">
        <v>0</v>
      </c>
      <c r="Q12" s="592">
        <f t="shared" si="0"/>
        <v>20</v>
      </c>
    </row>
    <row r="13" spans="2:17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669">
        <f>SUM(Q6:Q12)/33</f>
        <v>9.5757575757575761</v>
      </c>
    </row>
    <row r="14" spans="2:17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7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44197</v>
      </c>
      <c r="I15" s="1024"/>
      <c r="J15" s="1024"/>
      <c r="K15" s="1024"/>
      <c r="L15" s="5"/>
      <c r="M15" s="986" t="s">
        <v>360</v>
      </c>
      <c r="N15" s="986"/>
      <c r="O15" s="986"/>
      <c r="P15" s="986"/>
      <c r="Q15" s="986"/>
    </row>
    <row r="16" spans="2:17" s="17" customFormat="1" ht="12.75">
      <c r="B16" s="291"/>
      <c r="C16" s="606"/>
      <c r="D16" s="602"/>
      <c r="E16" s="602"/>
      <c r="F16" s="602"/>
      <c r="G16" s="602"/>
      <c r="H16" s="602"/>
      <c r="I16" s="602"/>
      <c r="J16" s="602"/>
      <c r="K16" s="607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361</v>
      </c>
      <c r="N17" s="326">
        <v>3</v>
      </c>
      <c r="O17" s="515">
        <v>400</v>
      </c>
      <c r="P17" s="326">
        <v>24</v>
      </c>
      <c r="Q17" s="516">
        <f>(N17*O17)/P17</f>
        <v>50</v>
      </c>
    </row>
    <row r="18" spans="2:17" s="17" customFormat="1" ht="12.75">
      <c r="B18" s="291"/>
      <c r="C18" s="606"/>
      <c r="D18" s="602"/>
      <c r="E18" s="602"/>
      <c r="F18" s="602"/>
      <c r="G18" s="602"/>
      <c r="H18" s="602"/>
      <c r="I18" s="602"/>
      <c r="J18" s="606"/>
      <c r="K18" s="607"/>
      <c r="M18" s="327" t="s">
        <v>362</v>
      </c>
      <c r="N18" s="326">
        <v>2</v>
      </c>
      <c r="O18" s="515">
        <v>15</v>
      </c>
      <c r="P18" s="326">
        <v>12</v>
      </c>
      <c r="Q18" s="515">
        <f>N18*O18/P18</f>
        <v>2.5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613" t="s">
        <v>26</v>
      </c>
      <c r="I19" s="1018" t="s">
        <v>336</v>
      </c>
      <c r="J19" s="1018"/>
      <c r="K19" s="1018"/>
      <c r="M19" s="328" t="s">
        <v>363</v>
      </c>
      <c r="N19" s="326">
        <v>10</v>
      </c>
      <c r="O19" s="515">
        <v>15</v>
      </c>
      <c r="P19" s="326">
        <v>12</v>
      </c>
      <c r="Q19" s="515">
        <f t="shared" ref="Q19" si="1">(N19*O19)/P19</f>
        <v>12.5</v>
      </c>
    </row>
    <row r="20" spans="2:17" s="17" customFormat="1" ht="12.75">
      <c r="B20" s="1019" t="str">
        <f>H12</f>
        <v>Vigilância Armada 12 horas diurnas 12x36 de segunda a domingo</v>
      </c>
      <c r="C20" s="1020"/>
      <c r="D20" s="1020"/>
      <c r="E20" s="1020"/>
      <c r="F20" s="1020"/>
      <c r="G20" s="1020"/>
      <c r="H20" s="317" t="s">
        <v>94</v>
      </c>
      <c r="I20" s="1021">
        <v>3</v>
      </c>
      <c r="J20" s="1021"/>
      <c r="K20" s="1021"/>
      <c r="M20" s="328" t="s">
        <v>364</v>
      </c>
      <c r="N20" s="322">
        <v>3</v>
      </c>
      <c r="O20" s="510">
        <v>25</v>
      </c>
      <c r="P20" s="322">
        <v>60</v>
      </c>
      <c r="Q20" s="510">
        <f>(N20*O20)/P20</f>
        <v>1.25</v>
      </c>
    </row>
    <row r="21" spans="2:17" s="17" customFormat="1" ht="12.75">
      <c r="B21" s="291"/>
      <c r="C21" s="606"/>
      <c r="D21" s="602"/>
      <c r="E21" s="602"/>
      <c r="F21" s="602"/>
      <c r="G21" s="602"/>
      <c r="H21" s="602"/>
      <c r="I21" s="602"/>
      <c r="J21" s="602"/>
      <c r="K21" s="607"/>
      <c r="M21" s="321" t="s">
        <v>365</v>
      </c>
      <c r="N21" s="322">
        <v>3</v>
      </c>
      <c r="O21" s="510">
        <v>10</v>
      </c>
      <c r="P21" s="322">
        <v>12</v>
      </c>
      <c r="Q21" s="510">
        <f>(N21*O21)/P21</f>
        <v>2.5</v>
      </c>
    </row>
    <row r="22" spans="2:17" s="17" customFormat="1" ht="16.5" customHeight="1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366</v>
      </c>
      <c r="N22" s="322">
        <v>3</v>
      </c>
      <c r="O22" s="510">
        <v>150</v>
      </c>
      <c r="P22" s="322">
        <v>24</v>
      </c>
      <c r="Q22" s="510">
        <f t="shared" ref="Q22:Q25" si="2">(N22*O22)/P22</f>
        <v>18.75</v>
      </c>
    </row>
    <row r="23" spans="2:17" s="17" customFormat="1" ht="12.75">
      <c r="B23" s="291"/>
      <c r="C23" s="602"/>
      <c r="D23" s="602"/>
      <c r="E23" s="602"/>
      <c r="F23" s="602"/>
      <c r="G23" s="602"/>
      <c r="H23" s="602"/>
      <c r="I23" s="602"/>
      <c r="J23" s="602"/>
      <c r="K23" s="607"/>
      <c r="M23" s="328" t="s">
        <v>367</v>
      </c>
      <c r="N23" s="322">
        <v>1</v>
      </c>
      <c r="O23" s="510">
        <v>370</v>
      </c>
      <c r="P23" s="322">
        <v>60</v>
      </c>
      <c r="Q23" s="510">
        <f t="shared" si="2"/>
        <v>6.166666666666667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M24" s="328" t="s">
        <v>368</v>
      </c>
      <c r="N24" s="322">
        <v>1</v>
      </c>
      <c r="O24" s="510">
        <v>200</v>
      </c>
      <c r="P24" s="322">
        <v>24</v>
      </c>
      <c r="Q24" s="510">
        <f t="shared" si="2"/>
        <v>8.3333333333333339</v>
      </c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328" t="s">
        <v>369</v>
      </c>
      <c r="N25" s="322">
        <v>1</v>
      </c>
      <c r="O25" s="510">
        <v>80</v>
      </c>
      <c r="P25" s="322">
        <v>12</v>
      </c>
      <c r="Q25" s="510">
        <f t="shared" si="2"/>
        <v>6.666666666666667</v>
      </c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986" t="s">
        <v>147</v>
      </c>
      <c r="N26" s="986"/>
      <c r="O26" s="986"/>
      <c r="P26" s="986"/>
      <c r="Q26" s="668">
        <f>SUM(Q17:Q25)/10</f>
        <v>10.866666666666667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986" t="s">
        <v>354</v>
      </c>
      <c r="N28" s="986"/>
      <c r="O28" s="986"/>
      <c r="P28" s="986"/>
      <c r="Q28" s="986"/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44197</v>
      </c>
      <c r="M29" s="323" t="s">
        <v>114</v>
      </c>
      <c r="N29" s="324" t="s">
        <v>115</v>
      </c>
      <c r="O29" s="324" t="s">
        <v>116</v>
      </c>
      <c r="P29" s="324" t="s">
        <v>117</v>
      </c>
      <c r="Q29" s="324" t="s">
        <v>97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220</v>
      </c>
      <c r="N30" s="322">
        <v>3</v>
      </c>
      <c r="O30" s="510">
        <v>1000</v>
      </c>
      <c r="P30" s="326">
        <v>120</v>
      </c>
      <c r="Q30" s="516">
        <f>(N30*O30)/P30</f>
        <v>25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328" t="s">
        <v>342</v>
      </c>
      <c r="N31" s="322">
        <v>60</v>
      </c>
      <c r="O31" s="510">
        <v>7</v>
      </c>
      <c r="P31" s="326">
        <v>60</v>
      </c>
      <c r="Q31" s="515">
        <f t="shared" ref="Q31:Q32" si="3">N31*O31/P31</f>
        <v>7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609" t="s">
        <v>3</v>
      </c>
      <c r="K32" s="609" t="s">
        <v>1</v>
      </c>
      <c r="M32" s="328" t="s">
        <v>355</v>
      </c>
      <c r="N32" s="322">
        <v>3</v>
      </c>
      <c r="O32" s="510">
        <v>180</v>
      </c>
      <c r="P32" s="326">
        <v>60</v>
      </c>
      <c r="Q32" s="515">
        <f t="shared" si="3"/>
        <v>9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712">
        <f>K27</f>
        <v>1372.86</v>
      </c>
      <c r="M33" s="986" t="s">
        <v>147</v>
      </c>
      <c r="N33" s="986"/>
      <c r="O33" s="986"/>
      <c r="P33" s="986"/>
      <c r="Q33" s="685">
        <f>SUM(Q30:Q32)/10</f>
        <v>4.0999999999999996</v>
      </c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617">
        <v>0.3</v>
      </c>
      <c r="K34" s="712">
        <f>K33*J34</f>
        <v>411.85799999999995</v>
      </c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0</v>
      </c>
      <c r="K35" s="712">
        <f>((K33+K34)/220)*0.2*J35</f>
        <v>0</v>
      </c>
      <c r="M35" s="1099"/>
      <c r="N35" s="1099"/>
      <c r="O35" s="1099"/>
      <c r="P35" s="1099"/>
      <c r="Q35" s="1099"/>
    </row>
    <row r="36" spans="2:18" s="17" customFormat="1" ht="12.75">
      <c r="B36" s="238" t="s">
        <v>10</v>
      </c>
      <c r="C36" s="1027" t="s">
        <v>67</v>
      </c>
      <c r="D36" s="1027"/>
      <c r="E36" s="1027"/>
      <c r="F36" s="1027"/>
      <c r="G36" s="1027"/>
      <c r="H36" s="1027"/>
      <c r="I36" s="1027"/>
      <c r="J36" s="277">
        <v>0</v>
      </c>
      <c r="K36" s="712">
        <v>209.15</v>
      </c>
      <c r="L36" s="21"/>
      <c r="M36" s="665"/>
      <c r="N36" s="666"/>
      <c r="O36" s="666"/>
      <c r="P36" s="666"/>
      <c r="Q36" s="666"/>
    </row>
    <row r="37" spans="2:18" s="17" customFormat="1" ht="27" customHeight="1">
      <c r="B37" s="275" t="s">
        <v>11</v>
      </c>
      <c r="C37" s="1032" t="s">
        <v>111</v>
      </c>
      <c r="D37" s="1033"/>
      <c r="E37" s="1033"/>
      <c r="F37" s="1033"/>
      <c r="G37" s="1033"/>
      <c r="H37" s="1033"/>
      <c r="I37" s="1037"/>
      <c r="J37" s="278">
        <v>0</v>
      </c>
      <c r="K37" s="276">
        <f>J37*15</f>
        <v>0</v>
      </c>
      <c r="L37" s="21"/>
      <c r="M37" s="660" t="s">
        <v>371</v>
      </c>
      <c r="N37" s="661">
        <v>1</v>
      </c>
      <c r="O37" s="662">
        <v>0</v>
      </c>
      <c r="P37" s="663">
        <v>60</v>
      </c>
      <c r="Q37" s="664">
        <f>(N37*O37)/P37</f>
        <v>0</v>
      </c>
    </row>
    <row r="38" spans="2:18" s="17" customFormat="1" ht="12.75">
      <c r="B38" s="238" t="s">
        <v>12</v>
      </c>
      <c r="C38" s="1038" t="s">
        <v>110</v>
      </c>
      <c r="D38" s="1039"/>
      <c r="E38" s="1039"/>
      <c r="F38" s="1039"/>
      <c r="G38" s="1039"/>
      <c r="H38" s="1039"/>
      <c r="I38" s="1040"/>
      <c r="J38" s="278">
        <v>0</v>
      </c>
      <c r="K38" s="276">
        <f>K37/6</f>
        <v>0</v>
      </c>
      <c r="L38" s="22"/>
      <c r="M38" s="986" t="s">
        <v>147</v>
      </c>
      <c r="N38" s="986"/>
      <c r="O38" s="986"/>
      <c r="P38" s="986"/>
      <c r="Q38" s="329">
        <f>Q37</f>
        <v>0</v>
      </c>
      <c r="R38" s="23"/>
    </row>
    <row r="39" spans="2:18" s="17" customFormat="1">
      <c r="B39" s="238" t="s">
        <v>13</v>
      </c>
      <c r="C39" s="1038" t="s">
        <v>112</v>
      </c>
      <c r="D39" s="1039"/>
      <c r="E39" s="1039"/>
      <c r="F39" s="1039"/>
      <c r="G39" s="1039"/>
      <c r="H39" s="1039"/>
      <c r="I39" s="1040"/>
      <c r="J39" s="279">
        <v>0</v>
      </c>
      <c r="K39" s="276">
        <f>J39*J35</f>
        <v>0</v>
      </c>
      <c r="L39" s="22"/>
      <c r="M39" s="503"/>
      <c r="N39" s="618"/>
      <c r="O39" s="618"/>
      <c r="P39" s="618"/>
      <c r="Q39" s="619"/>
      <c r="R39" s="16"/>
    </row>
    <row r="40" spans="2:18" s="17" customFormat="1" ht="15" customHeigh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/>
      <c r="L40" s="22"/>
      <c r="M40" s="503"/>
      <c r="N40" s="504"/>
      <c r="O40" s="504"/>
      <c r="P40" s="504"/>
      <c r="Q40" s="504"/>
    </row>
    <row r="41" spans="2:18" s="17" customFormat="1" ht="12.75" customHeigh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SUM(K33:K34)</f>
        <v>1784.7179999999998</v>
      </c>
      <c r="L41" s="22"/>
      <c r="M41" s="503"/>
      <c r="N41" s="504"/>
      <c r="O41" s="504"/>
      <c r="P41" s="504"/>
      <c r="Q41" s="504"/>
    </row>
    <row r="42" spans="2:18" s="17" customFormat="1" ht="13.5" customHeigh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SUM(K33:K40)</f>
        <v>1993.8679999999999</v>
      </c>
      <c r="L42" s="25"/>
      <c r="M42" s="503"/>
      <c r="N42" s="504"/>
      <c r="O42" s="504"/>
      <c r="P42" s="504"/>
      <c r="Q42" s="504"/>
    </row>
    <row r="43" spans="2:18" s="17" customFormat="1">
      <c r="B43" s="291"/>
      <c r="C43" s="611"/>
      <c r="D43" s="611"/>
      <c r="E43" s="611"/>
      <c r="F43" s="611"/>
      <c r="G43" s="611"/>
      <c r="H43" s="611"/>
      <c r="I43" s="611"/>
      <c r="J43" s="611"/>
      <c r="K43" s="293"/>
      <c r="L43" s="22"/>
      <c r="M43" s="503"/>
      <c r="N43" s="1035"/>
      <c r="O43" s="1035"/>
      <c r="P43" s="1035"/>
      <c r="Q43" s="1035"/>
    </row>
    <row r="44" spans="2:18" s="17" customFormat="1">
      <c r="B44" s="291"/>
      <c r="C44" s="611"/>
      <c r="D44" s="611"/>
      <c r="E44" s="611"/>
      <c r="F44" s="611"/>
      <c r="G44" s="611"/>
      <c r="H44" s="611"/>
      <c r="I44" s="611"/>
      <c r="J44" s="611"/>
      <c r="K44" s="294"/>
      <c r="L44" s="22"/>
      <c r="M44" s="1036" t="s">
        <v>313</v>
      </c>
      <c r="N44" s="1036"/>
      <c r="O44" s="504"/>
      <c r="P44" s="504"/>
      <c r="Q44" s="457"/>
      <c r="R44" s="23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2"/>
      <c r="M45" s="569" t="s">
        <v>314</v>
      </c>
      <c r="N45" s="570">
        <v>25.5</v>
      </c>
      <c r="O45" s="568"/>
      <c r="P45" s="568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612" t="s">
        <v>3</v>
      </c>
      <c r="K46" s="612" t="s">
        <v>1</v>
      </c>
      <c r="L46" s="27"/>
      <c r="M46" s="569" t="s">
        <v>315</v>
      </c>
      <c r="N46" s="571">
        <v>15</v>
      </c>
      <c r="O46" s="568"/>
      <c r="P46" s="568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9.0899999999999995E-2</v>
      </c>
      <c r="K47" s="274">
        <f>K41*J47</f>
        <v>162.23086619999998</v>
      </c>
      <c r="L47" s="29">
        <f>L41*J47</f>
        <v>0</v>
      </c>
      <c r="M47" s="569" t="s">
        <v>316</v>
      </c>
      <c r="N47" s="570">
        <f>N45*N46</f>
        <v>382.5</v>
      </c>
      <c r="O47" s="568"/>
      <c r="P47" s="568"/>
      <c r="Q47" s="504"/>
    </row>
    <row r="48" spans="2:18" s="17" customFormat="1">
      <c r="B48" s="238" t="s">
        <v>8</v>
      </c>
      <c r="C48" s="1027" t="s">
        <v>440</v>
      </c>
      <c r="D48" s="1027"/>
      <c r="E48" s="1027"/>
      <c r="F48" s="1027"/>
      <c r="G48" s="1027"/>
      <c r="H48" s="1027"/>
      <c r="I48" s="1027"/>
      <c r="J48" s="411">
        <v>0.1212</v>
      </c>
      <c r="K48" s="274">
        <f>K41*J48</f>
        <v>216.30782159999998</v>
      </c>
      <c r="L48" s="29">
        <f>L41*J48</f>
        <v>0</v>
      </c>
      <c r="M48" s="569" t="s">
        <v>317</v>
      </c>
      <c r="N48" s="570">
        <f>N47*5%</f>
        <v>19.125</v>
      </c>
      <c r="O48" s="572" t="s">
        <v>318</v>
      </c>
      <c r="P48" s="585" t="s">
        <v>316</v>
      </c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0.21210000000000001</v>
      </c>
      <c r="K49" s="521">
        <f>SUM(K47:K48)</f>
        <v>378.53868779999993</v>
      </c>
      <c r="L49" s="29">
        <f>SUM(L47:L48)</f>
        <v>0</v>
      </c>
      <c r="M49" s="573" t="s">
        <v>319</v>
      </c>
      <c r="N49" s="570">
        <f>N47-N48</f>
        <v>363.375</v>
      </c>
      <c r="O49" s="575">
        <v>1</v>
      </c>
      <c r="P49" s="584">
        <f>O49*N49</f>
        <v>363.375</v>
      </c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1066" t="s">
        <v>320</v>
      </c>
      <c r="N50" s="1066"/>
      <c r="O50" s="622"/>
      <c r="P50" s="621"/>
      <c r="Q50" s="504"/>
    </row>
    <row r="51" spans="2:17" s="17" customFormat="1">
      <c r="B51" s="1030" t="s">
        <v>420</v>
      </c>
      <c r="C51" s="1030"/>
      <c r="D51" s="1030"/>
      <c r="E51" s="1030"/>
      <c r="F51" s="1030"/>
      <c r="G51" s="1030"/>
      <c r="H51" s="1030"/>
      <c r="I51" s="1030"/>
      <c r="J51" s="608" t="s">
        <v>3</v>
      </c>
      <c r="K51" s="608" t="s">
        <v>1</v>
      </c>
      <c r="L51" s="27">
        <f>K42+K49</f>
        <v>2372.4066877999999</v>
      </c>
      <c r="M51" s="620"/>
      <c r="N51" s="621"/>
      <c r="O51" s="622"/>
      <c r="P51" s="621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($K$42+$K$49)*J52</f>
        <v>474.48133755999999</v>
      </c>
      <c r="L52" s="27">
        <f>L51*J52</f>
        <v>474.48133755999999</v>
      </c>
      <c r="M52" s="1036" t="s">
        <v>321</v>
      </c>
      <c r="N52" s="1036"/>
      <c r="O52" s="568"/>
      <c r="P52" s="568"/>
      <c r="Q52" s="504"/>
    </row>
    <row r="53" spans="2:17" s="17" customForma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($K$42+$K$49)*J53</f>
        <v>59.310167194999998</v>
      </c>
      <c r="L53" s="29"/>
      <c r="M53" s="569" t="s">
        <v>322</v>
      </c>
      <c r="N53" s="577">
        <v>3.8</v>
      </c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0.03</v>
      </c>
      <c r="K54" s="273">
        <f t="shared" si="4"/>
        <v>71.172200633999992</v>
      </c>
      <c r="L54" s="29"/>
      <c r="M54" s="569" t="s">
        <v>323</v>
      </c>
      <c r="N54" s="577">
        <v>2</v>
      </c>
      <c r="O54" s="568"/>
      <c r="P54" s="568"/>
      <c r="Q54" s="504"/>
    </row>
    <row r="55" spans="2:17" s="17" customForma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35.586100316999996</v>
      </c>
      <c r="L55" s="29"/>
      <c r="M55" s="569" t="s">
        <v>324</v>
      </c>
      <c r="N55" s="571">
        <v>15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23.724066877999999</v>
      </c>
      <c r="L56" s="29"/>
      <c r="M56" s="569" t="s">
        <v>325</v>
      </c>
      <c r="N56" s="577">
        <f>(N53*N54)*N55</f>
        <v>114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14.234440126799999</v>
      </c>
      <c r="L57" s="29"/>
      <c r="M57" s="569" t="s">
        <v>326</v>
      </c>
      <c r="N57" s="577">
        <f>K33*6%</f>
        <v>82.371599999999987</v>
      </c>
      <c r="O57" s="572" t="s">
        <v>318</v>
      </c>
      <c r="P57" s="585" t="s">
        <v>316</v>
      </c>
      <c r="Q57" s="504"/>
    </row>
    <row r="58" spans="2:17" s="17" customFormat="1" ht="14.25" customHeigh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4.7448133755999997</v>
      </c>
      <c r="L58" s="29"/>
      <c r="M58" s="573" t="s">
        <v>319</v>
      </c>
      <c r="N58" s="578">
        <f>N56-N57</f>
        <v>31.628400000000013</v>
      </c>
      <c r="O58" s="575">
        <v>1</v>
      </c>
      <c r="P58" s="584">
        <f>O58*N58</f>
        <v>31.628400000000013</v>
      </c>
      <c r="Q58" s="504"/>
    </row>
    <row r="59" spans="2:17" s="17" customFormat="1" ht="14.25" customHeigh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189.79253502399999</v>
      </c>
      <c r="L59" s="29"/>
      <c r="M59" s="1066" t="s">
        <v>327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0.36800000000000005</v>
      </c>
      <c r="K60" s="521">
        <f>TRUNC(SUM(K52:K59),2)</f>
        <v>873.04</v>
      </c>
      <c r="L60" s="27">
        <f>L51*J60</f>
        <v>873.04566111040003</v>
      </c>
      <c r="M60" s="625"/>
      <c r="N60" s="620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67" t="s">
        <v>328</v>
      </c>
      <c r="N61" s="1067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567" t="s">
        <v>1</v>
      </c>
      <c r="L62" s="29"/>
      <c r="M62" s="569" t="s">
        <v>329</v>
      </c>
      <c r="N62" s="579">
        <v>109.23</v>
      </c>
      <c r="O62" s="568"/>
      <c r="P62" s="568"/>
      <c r="Q62" s="504"/>
    </row>
    <row r="63" spans="2:17" s="17" customFormat="1">
      <c r="B63" s="615" t="s">
        <v>7</v>
      </c>
      <c r="C63" s="1091" t="s">
        <v>113</v>
      </c>
      <c r="D63" s="1092"/>
      <c r="E63" s="1092"/>
      <c r="F63" s="1092"/>
      <c r="G63" s="1092"/>
      <c r="H63" s="1092"/>
      <c r="I63" s="1092"/>
      <c r="J63" s="1093"/>
      <c r="K63" s="714">
        <f>P58</f>
        <v>31.628400000000013</v>
      </c>
      <c r="L63" s="27"/>
      <c r="M63" s="569" t="s">
        <v>330</v>
      </c>
      <c r="N63" s="579">
        <v>1</v>
      </c>
      <c r="O63" s="568"/>
      <c r="P63" s="568"/>
      <c r="Q63" s="504"/>
    </row>
    <row r="64" spans="2:17" s="17" customFormat="1">
      <c r="B64" s="615" t="s">
        <v>8</v>
      </c>
      <c r="C64" s="1091" t="s">
        <v>173</v>
      </c>
      <c r="D64" s="1092"/>
      <c r="E64" s="1092"/>
      <c r="F64" s="1092"/>
      <c r="G64" s="1092"/>
      <c r="H64" s="1092"/>
      <c r="I64" s="1092"/>
      <c r="J64" s="1093"/>
      <c r="K64" s="713">
        <f>P49</f>
        <v>363.375</v>
      </c>
      <c r="L64" s="29"/>
      <c r="M64" s="569" t="s">
        <v>331</v>
      </c>
      <c r="N64" s="580">
        <v>1</v>
      </c>
      <c r="O64" s="568"/>
      <c r="P64" s="568"/>
      <c r="Q64" s="504"/>
    </row>
    <row r="65" spans="2:17" s="17" customFormat="1" ht="15.75">
      <c r="B65" s="615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95"/>
      <c r="K65" s="713">
        <f>N65</f>
        <v>108.23</v>
      </c>
      <c r="L65" s="29"/>
      <c r="M65" s="581" t="s">
        <v>332</v>
      </c>
      <c r="N65" s="583">
        <f>(N62-N63)*N64</f>
        <v>108.23</v>
      </c>
      <c r="O65" s="568"/>
      <c r="P65" s="568"/>
      <c r="Q65" s="504"/>
    </row>
    <row r="66" spans="2:17" s="17" customFormat="1" ht="13.5" customHeight="1">
      <c r="B66" s="615" t="s">
        <v>10</v>
      </c>
      <c r="C66" s="563" t="s">
        <v>438</v>
      </c>
      <c r="D66" s="564"/>
      <c r="E66" s="565"/>
      <c r="F66" s="565"/>
      <c r="G66" s="565"/>
      <c r="H66" s="565"/>
      <c r="I66" s="565"/>
      <c r="J66" s="566"/>
      <c r="K66" s="713">
        <v>10</v>
      </c>
      <c r="L66" s="29"/>
      <c r="M66" s="1066" t="s">
        <v>333</v>
      </c>
      <c r="N66" s="1066"/>
      <c r="O66" s="568"/>
      <c r="P66" s="568"/>
      <c r="Q66" s="504"/>
    </row>
    <row r="67" spans="2:17" s="17" customFormat="1" ht="13.5" customHeigh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SUM(K63:K66)</f>
        <v>513.23340000000007</v>
      </c>
      <c r="L67" s="27"/>
      <c r="M67" s="623"/>
      <c r="N67" s="626"/>
      <c r="O67" s="624"/>
      <c r="P67" s="624"/>
      <c r="Q67" s="504"/>
    </row>
    <row r="68" spans="2:17" s="17" customFormat="1" ht="13.5" customHeigh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7"/>
      <c r="M68" s="620"/>
      <c r="N68" s="627"/>
      <c r="O68" s="622"/>
      <c r="P68" s="621"/>
      <c r="Q68" s="504"/>
    </row>
    <row r="69" spans="2:17" s="17" customFormat="1" ht="14.25" customHeight="1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7"/>
      <c r="M69" s="568"/>
      <c r="N69" s="620"/>
      <c r="O69" s="568"/>
      <c r="P69" s="568"/>
      <c r="Q69" s="504"/>
    </row>
    <row r="70" spans="2:17" s="17" customFormat="1" ht="36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608" t="s">
        <v>1</v>
      </c>
      <c r="L70" s="29"/>
      <c r="M70" s="655" t="s">
        <v>421</v>
      </c>
      <c r="N70" s="654" t="s">
        <v>422</v>
      </c>
      <c r="O70" s="320" t="s">
        <v>117</v>
      </c>
      <c r="P70" s="653" t="s">
        <v>423</v>
      </c>
      <c r="Q70" s="590" t="s">
        <v>97</v>
      </c>
    </row>
    <row r="71" spans="2:17" s="17" customFormat="1" ht="12.75">
      <c r="B71" s="603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378.53868779999993</v>
      </c>
      <c r="L71" s="29"/>
      <c r="M71" s="656" t="s">
        <v>424</v>
      </c>
      <c r="N71" s="575">
        <v>6</v>
      </c>
      <c r="O71" s="322">
        <v>0</v>
      </c>
      <c r="P71" s="657">
        <v>0.7</v>
      </c>
      <c r="Q71" s="592">
        <f>(N71*P71)</f>
        <v>4.1999999999999993</v>
      </c>
    </row>
    <row r="72" spans="2:17" s="17" customFormat="1" ht="12.75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873.04</v>
      </c>
      <c r="L72" s="29"/>
      <c r="M72" s="573" t="s">
        <v>425</v>
      </c>
      <c r="N72" s="572">
        <v>2</v>
      </c>
      <c r="O72" s="322">
        <v>0</v>
      </c>
      <c r="P72" s="657">
        <v>6</v>
      </c>
      <c r="Q72" s="592">
        <f>(N72*P72)</f>
        <v>12</v>
      </c>
    </row>
    <row r="73" spans="2:17" s="17" customFormat="1" ht="12.75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513.23340000000007</v>
      </c>
      <c r="L73" s="29"/>
      <c r="M73" s="986" t="s">
        <v>147</v>
      </c>
      <c r="N73" s="986"/>
      <c r="O73" s="986"/>
      <c r="P73" s="986"/>
      <c r="Q73" s="668">
        <f>(Q71+Q72)/10</f>
        <v>1.6199999999999999</v>
      </c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1764.81</v>
      </c>
      <c r="L74" s="29"/>
      <c r="M74" s="632"/>
      <c r="N74" s="630"/>
      <c r="O74" s="568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620"/>
      <c r="N75" s="633"/>
      <c r="O75" s="582"/>
      <c r="P75" s="568"/>
      <c r="Q75" s="504"/>
    </row>
    <row r="76" spans="2:17" s="17" customFormat="1">
      <c r="B76" s="609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609" t="s">
        <v>3</v>
      </c>
      <c r="K76" s="609" t="s">
        <v>1</v>
      </c>
      <c r="L76" s="29"/>
      <c r="M76" s="634"/>
      <c r="N76" s="620"/>
      <c r="O76" s="582"/>
      <c r="P76" s="568"/>
      <c r="Q76" s="504"/>
    </row>
    <row r="77" spans="2:17" s="17" customFormat="1">
      <c r="B77" s="609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709">
        <v>4.1999999999999997E-3</v>
      </c>
      <c r="K77" s="246">
        <f>K42*J77</f>
        <v>8.3742456000000001</v>
      </c>
      <c r="L77" s="29"/>
      <c r="M77" s="503"/>
      <c r="N77" s="504"/>
      <c r="O77" s="671"/>
      <c r="P77" s="504"/>
      <c r="Q77" s="504"/>
    </row>
    <row r="78" spans="2:17" s="17" customFormat="1">
      <c r="B78" s="609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3.3599999999999998E-4</v>
      </c>
      <c r="K78" s="677">
        <f>K77*J78</f>
        <v>2.8137465216E-3</v>
      </c>
      <c r="L78" s="29"/>
      <c r="M78" s="503"/>
      <c r="N78" s="504"/>
      <c r="O78" s="504"/>
      <c r="P78" s="504"/>
      <c r="Q78" s="504"/>
    </row>
    <row r="79" spans="2:17" s="17" customFormat="1">
      <c r="B79" s="609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2.18E-2</v>
      </c>
      <c r="K79" s="242">
        <f>K42*J79</f>
        <v>43.466322399999996</v>
      </c>
      <c r="L79" s="29"/>
      <c r="M79" s="503"/>
      <c r="N79" s="504"/>
      <c r="O79" s="671"/>
      <c r="P79" s="504"/>
      <c r="Q79" s="504"/>
    </row>
    <row r="80" spans="2:17" s="17" customFormat="1">
      <c r="B80" s="609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K79*J80</f>
        <v>0.84517849111111099</v>
      </c>
      <c r="L80" s="29"/>
      <c r="M80" s="503"/>
      <c r="N80" s="504"/>
      <c r="O80" s="504"/>
      <c r="P80" s="504"/>
      <c r="Q80" s="504"/>
    </row>
    <row r="81" spans="2:17" s="17" customFormat="1">
      <c r="B81" s="609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7.1555555555555565E-3</v>
      </c>
      <c r="K81" s="242">
        <f>K80*J81</f>
        <v>6.0477216475061726E-3</v>
      </c>
      <c r="L81" s="29"/>
      <c r="M81" s="503"/>
      <c r="N81" s="504"/>
      <c r="O81" s="504"/>
      <c r="P81" s="504"/>
      <c r="Q81" s="504"/>
    </row>
    <row r="82" spans="2:17" s="17" customFormat="1">
      <c r="B82" s="609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2.18E-2</v>
      </c>
      <c r="K82" s="242">
        <f>K42*J82</f>
        <v>43.466322399999996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7.4735999999999997E-2</v>
      </c>
      <c r="K83" s="260">
        <f>SUM(K77:K82)</f>
        <v>96.160930359280201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609" t="s">
        <v>3</v>
      </c>
      <c r="K86" s="609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609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v>9.0899999999999995E-2</v>
      </c>
      <c r="K87" s="242">
        <f>$K$42*J87</f>
        <v>181.2426012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2">
        <f t="shared" ref="K88:K92" si="5">$K$42*J88</f>
        <v>8.9724059999999994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4.0000000000000002E-4</v>
      </c>
      <c r="K89" s="242">
        <f t="shared" si="5"/>
        <v>0.79754720000000001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2.7000000000000001E-3</v>
      </c>
      <c r="K90" s="242">
        <f t="shared" si="5"/>
        <v>5.3834436000000006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0</v>
      </c>
      <c r="K91" s="242">
        <f t="shared" si="5"/>
        <v>0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2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9.849999999999999E-2</v>
      </c>
      <c r="K93" s="260">
        <f>SUM(K87:K92)</f>
        <v>196.39599799999999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608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609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v>0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0</v>
      </c>
      <c r="L97" s="29"/>
      <c r="M97" s="503"/>
      <c r="N97" s="504"/>
      <c r="O97" s="504"/>
      <c r="P97" s="504"/>
      <c r="Q97" s="504"/>
    </row>
    <row r="98" spans="2:17" s="17" customFormat="1">
      <c r="B98" s="605"/>
      <c r="C98" s="606"/>
      <c r="D98" s="606"/>
      <c r="E98" s="606"/>
      <c r="F98" s="606"/>
      <c r="G98" s="606"/>
      <c r="H98" s="606"/>
      <c r="I98" s="606"/>
      <c r="J98" s="606"/>
      <c r="K98" s="607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608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609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196.39599799999999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0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196.39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0.75333600000000001</v>
      </c>
      <c r="K104" s="520">
        <f>K93+K83+K60+K49</f>
        <v>1544.1356161592801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608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608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609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9.5757575757575761</v>
      </c>
      <c r="L108" s="29"/>
      <c r="M108" s="503"/>
      <c r="N108" s="504"/>
      <c r="O108" s="504"/>
      <c r="P108" s="504"/>
      <c r="Q108" s="504"/>
    </row>
    <row r="109" spans="2:17" s="17" customFormat="1">
      <c r="B109" s="609" t="s">
        <v>8</v>
      </c>
      <c r="C109" s="1038" t="s">
        <v>426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Q26+Q73</f>
        <v>12.486666666666666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428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Q33+Q37</f>
        <v>4.0999999999999996</v>
      </c>
      <c r="L110" s="29"/>
      <c r="M110" s="503"/>
      <c r="N110" s="504"/>
      <c r="O110" s="504"/>
      <c r="P110" s="504"/>
      <c r="Q110" s="504"/>
    </row>
    <row r="111" spans="2:17" s="17" customFormat="1">
      <c r="B111" s="250" t="s">
        <v>10</v>
      </c>
      <c r="C111" s="1027"/>
      <c r="D111" s="1027"/>
      <c r="E111" s="1027"/>
      <c r="F111" s="1027"/>
      <c r="G111" s="1027"/>
      <c r="H111" s="1027"/>
      <c r="I111" s="1027"/>
      <c r="J111" s="238"/>
      <c r="K111" s="242"/>
      <c r="L111" s="29"/>
      <c r="M111" s="503"/>
      <c r="N111" s="504"/>
      <c r="O111" s="504"/>
      <c r="P111" s="504"/>
      <c r="Q111" s="504"/>
    </row>
    <row r="112" spans="2:17" s="17" customFormat="1">
      <c r="B112" s="1083" t="s">
        <v>70</v>
      </c>
      <c r="C112" s="1083"/>
      <c r="D112" s="1083"/>
      <c r="E112" s="1083"/>
      <c r="F112" s="1083"/>
      <c r="G112" s="1083"/>
      <c r="H112" s="1083"/>
      <c r="I112" s="1083"/>
      <c r="J112" s="419" t="s">
        <v>0</v>
      </c>
      <c r="K112" s="415">
        <f>TRUNC(SUM(K108:K111),2)</f>
        <v>26.16</v>
      </c>
      <c r="L112" s="29"/>
      <c r="M112" s="503"/>
      <c r="N112" s="504"/>
      <c r="O112" s="504"/>
      <c r="P112" s="504"/>
      <c r="Q112" s="504"/>
    </row>
    <row r="113" spans="2:18" s="17" customFormat="1">
      <c r="B113" s="1084" t="s">
        <v>71</v>
      </c>
      <c r="C113" s="1084"/>
      <c r="D113" s="1084"/>
      <c r="E113" s="1084"/>
      <c r="F113" s="1084"/>
      <c r="G113" s="1084"/>
      <c r="H113" s="1084"/>
      <c r="I113" s="1084"/>
      <c r="J113" s="1084"/>
      <c r="K113" s="1084"/>
      <c r="L113" s="29"/>
      <c r="M113" s="503"/>
      <c r="N113" s="504"/>
      <c r="O113" s="504"/>
      <c r="P113" s="504"/>
      <c r="Q113" s="504"/>
    </row>
    <row r="114" spans="2:18" s="17" customFormat="1">
      <c r="B114" s="609">
        <v>6</v>
      </c>
      <c r="C114" s="1085" t="s">
        <v>18</v>
      </c>
      <c r="D114" s="1085"/>
      <c r="E114" s="1085"/>
      <c r="F114" s="1085"/>
      <c r="G114" s="1085"/>
      <c r="H114" s="1085"/>
      <c r="I114" s="1085"/>
      <c r="J114" s="609" t="s">
        <v>3</v>
      </c>
      <c r="K114" s="609" t="s">
        <v>1</v>
      </c>
      <c r="L114" s="29"/>
      <c r="M114" s="503"/>
      <c r="N114" s="504"/>
      <c r="O114" s="504"/>
      <c r="P114" s="504"/>
      <c r="Q114" s="504"/>
    </row>
    <row r="115" spans="2:18" s="17" customFormat="1">
      <c r="B115" s="609" t="s">
        <v>7</v>
      </c>
      <c r="C115" s="1044" t="s">
        <v>21</v>
      </c>
      <c r="D115" s="1044"/>
      <c r="E115" s="1044"/>
      <c r="F115" s="1044"/>
      <c r="G115" s="1044"/>
      <c r="H115" s="1044"/>
      <c r="I115" s="1044"/>
      <c r="J115" s="411">
        <v>2.1499999999999998E-2</v>
      </c>
      <c r="K115" s="355">
        <f>TRUNC(J115*K140,2)</f>
        <v>87.66</v>
      </c>
      <c r="L115" s="29"/>
      <c r="M115" s="503"/>
      <c r="N115" s="504"/>
      <c r="O115" s="504"/>
      <c r="P115" s="504"/>
      <c r="Q115" s="504"/>
    </row>
    <row r="116" spans="2:18" s="17" customFormat="1">
      <c r="B116" s="243" t="s">
        <v>8</v>
      </c>
      <c r="C116" s="1044" t="s">
        <v>4</v>
      </c>
      <c r="D116" s="1044"/>
      <c r="E116" s="1044"/>
      <c r="F116" s="1044"/>
      <c r="G116" s="1044"/>
      <c r="H116" s="1044"/>
      <c r="I116" s="1044"/>
      <c r="J116" s="411">
        <v>2.3E-2</v>
      </c>
      <c r="K116" s="355">
        <f>TRUNC(J116*(K115+K140),2)</f>
        <v>95.79</v>
      </c>
      <c r="L116" s="29"/>
      <c r="M116" s="503"/>
      <c r="N116" s="504"/>
      <c r="O116" s="504"/>
      <c r="P116" s="504"/>
      <c r="Q116" s="504"/>
    </row>
    <row r="117" spans="2:18" s="17" customFormat="1">
      <c r="B117" s="604" t="s">
        <v>9</v>
      </c>
      <c r="C117" s="1086" t="s">
        <v>28</v>
      </c>
      <c r="D117" s="1087"/>
      <c r="E117" s="1087"/>
      <c r="F117" s="1087"/>
      <c r="G117" s="1087"/>
      <c r="H117" s="1087"/>
      <c r="I117" s="1087"/>
      <c r="J117" s="1088"/>
      <c r="K117" s="1089"/>
      <c r="L117" s="29"/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82</v>
      </c>
      <c r="D118" s="1044"/>
      <c r="E118" s="1044"/>
      <c r="F118" s="1044"/>
      <c r="G118" s="1044"/>
      <c r="H118" s="1044"/>
      <c r="I118" s="1044"/>
      <c r="J118" s="245">
        <v>6.4999999999999997E-3</v>
      </c>
      <c r="K118" s="426">
        <f>TRUNC(J118*K129,2)</f>
        <v>30.31</v>
      </c>
      <c r="L118" s="29"/>
      <c r="M118" s="503"/>
      <c r="N118" s="504"/>
      <c r="O118" s="504"/>
      <c r="P118" s="504"/>
      <c r="Q118" s="504"/>
      <c r="R118" s="128"/>
    </row>
    <row r="119" spans="2:18" s="17" customFormat="1">
      <c r="B119" s="243" t="s">
        <v>29</v>
      </c>
      <c r="C119" s="1044" t="s">
        <v>77</v>
      </c>
      <c r="D119" s="1044"/>
      <c r="E119" s="1044"/>
      <c r="F119" s="1044"/>
      <c r="G119" s="1044"/>
      <c r="H119" s="1044"/>
      <c r="I119" s="1044"/>
      <c r="J119" s="245">
        <v>0.03</v>
      </c>
      <c r="K119" s="426">
        <f>TRUNC(J119*K129,2)</f>
        <v>139.91999999999999</v>
      </c>
      <c r="M119" s="503"/>
      <c r="N119" s="504"/>
      <c r="O119" s="504"/>
      <c r="P119" s="504"/>
      <c r="Q119" s="504"/>
    </row>
    <row r="120" spans="2:18" s="17" customFormat="1">
      <c r="B120" s="243" t="s">
        <v>30</v>
      </c>
      <c r="C120" s="1044" t="s">
        <v>80</v>
      </c>
      <c r="D120" s="1044"/>
      <c r="E120" s="1044"/>
      <c r="F120" s="1044"/>
      <c r="G120" s="1044"/>
      <c r="H120" s="1044"/>
      <c r="I120" s="1044"/>
      <c r="J120" s="247" t="s">
        <v>79</v>
      </c>
      <c r="K120" s="426">
        <v>0</v>
      </c>
      <c r="L120" s="25"/>
      <c r="M120" s="503"/>
      <c r="N120" s="504"/>
      <c r="O120" s="504"/>
      <c r="P120" s="504"/>
      <c r="Q120" s="504"/>
    </row>
    <row r="121" spans="2:18" s="17" customFormat="1">
      <c r="B121" s="243" t="s">
        <v>31</v>
      </c>
      <c r="C121" s="1044" t="s">
        <v>78</v>
      </c>
      <c r="D121" s="1044"/>
      <c r="E121" s="1044"/>
      <c r="F121" s="1044"/>
      <c r="G121" s="1044"/>
      <c r="H121" s="1044"/>
      <c r="I121" s="1044"/>
      <c r="J121" s="245">
        <v>0.05</v>
      </c>
      <c r="K121" s="426">
        <f>TRUNC(J121*K129,2)</f>
        <v>233.21</v>
      </c>
      <c r="M121" s="503"/>
      <c r="N121" s="504"/>
      <c r="O121" s="504"/>
      <c r="P121" s="504"/>
      <c r="Q121" s="504"/>
    </row>
    <row r="122" spans="2:18" s="17" customFormat="1">
      <c r="B122" s="1080" t="s">
        <v>72</v>
      </c>
      <c r="C122" s="1080"/>
      <c r="D122" s="1080"/>
      <c r="E122" s="1080"/>
      <c r="F122" s="1080"/>
      <c r="G122" s="1080"/>
      <c r="H122" s="1080"/>
      <c r="I122" s="1080"/>
      <c r="J122" s="420">
        <f>SUM(J115:J121)</f>
        <v>0.13100000000000001</v>
      </c>
      <c r="K122" s="523">
        <f>TRUNC(SUM(K115:K121),2)</f>
        <v>586.89</v>
      </c>
      <c r="L122" s="25"/>
      <c r="M122" s="503"/>
      <c r="N122" s="504"/>
      <c r="O122" s="504"/>
      <c r="P122" s="504"/>
      <c r="Q122" s="504"/>
    </row>
    <row r="123" spans="2:18" s="17" customFormat="1">
      <c r="B123" s="291"/>
      <c r="C123" s="606"/>
      <c r="D123" s="1081"/>
      <c r="E123" s="1081"/>
      <c r="F123" s="1081"/>
      <c r="G123" s="1081"/>
      <c r="H123" s="1081"/>
      <c r="I123" s="1081"/>
      <c r="J123" s="1081"/>
      <c r="K123" s="1082"/>
      <c r="M123" s="503"/>
      <c r="N123" s="504"/>
      <c r="O123" s="504"/>
      <c r="P123" s="504"/>
      <c r="Q123" s="504"/>
    </row>
    <row r="124" spans="2:18" s="17" customFormat="1">
      <c r="B124" s="300" t="s">
        <v>32</v>
      </c>
      <c r="C124" s="301"/>
      <c r="D124" s="1071" t="s">
        <v>33</v>
      </c>
      <c r="E124" s="1071"/>
      <c r="F124" s="1071"/>
      <c r="G124" s="1071"/>
      <c r="H124" s="1071"/>
      <c r="I124" s="1072"/>
      <c r="J124" s="1073">
        <f>TRUNC(J118+J119+J121,4)</f>
        <v>8.6499999999999994E-2</v>
      </c>
      <c r="K124" s="1074"/>
      <c r="L124" s="25"/>
      <c r="M124" s="503"/>
      <c r="N124" s="504"/>
      <c r="O124" s="504"/>
      <c r="P124" s="504"/>
      <c r="Q124" s="504"/>
    </row>
    <row r="125" spans="2:18" s="17" customFormat="1">
      <c r="B125" s="233"/>
      <c r="C125" s="302"/>
      <c r="D125" s="1077">
        <v>100</v>
      </c>
      <c r="E125" s="1078"/>
      <c r="F125" s="1078"/>
      <c r="G125" s="1078"/>
      <c r="H125" s="1078"/>
      <c r="I125" s="1079"/>
      <c r="J125" s="1075"/>
      <c r="K125" s="1076"/>
      <c r="M125" s="503"/>
      <c r="N125" s="504"/>
      <c r="O125" s="504"/>
      <c r="P125" s="504"/>
      <c r="Q125" s="504"/>
      <c r="R125" s="127"/>
    </row>
    <row r="126" spans="2:18" s="17" customFormat="1">
      <c r="B126" s="311"/>
      <c r="C126" s="310"/>
      <c r="D126" s="598"/>
      <c r="E126" s="598"/>
      <c r="F126" s="598"/>
      <c r="G126" s="598"/>
      <c r="H126" s="598"/>
      <c r="I126" s="599"/>
      <c r="J126" s="600"/>
      <c r="K126" s="413"/>
      <c r="M126" s="503"/>
      <c r="N126" s="504"/>
      <c r="O126" s="504"/>
      <c r="P126" s="504"/>
      <c r="Q126" s="504"/>
    </row>
    <row r="127" spans="2:18" s="17" customFormat="1">
      <c r="B127" s="233" t="s">
        <v>34</v>
      </c>
      <c r="C127" s="302"/>
      <c r="D127" s="1078" t="s">
        <v>73</v>
      </c>
      <c r="E127" s="1078"/>
      <c r="F127" s="1078"/>
      <c r="G127" s="1078"/>
      <c r="H127" s="1078"/>
      <c r="I127" s="1079"/>
      <c r="J127" s="601"/>
      <c r="K127" s="429">
        <f>TRUNC(K140+K115+K116,2)</f>
        <v>4260.84</v>
      </c>
      <c r="M127" s="503"/>
      <c r="N127" s="504"/>
      <c r="O127" s="504"/>
      <c r="P127" s="504"/>
      <c r="Q127" s="504"/>
    </row>
    <row r="128" spans="2:18" s="17" customFormat="1">
      <c r="B128" s="300"/>
      <c r="C128" s="301"/>
      <c r="D128" s="598"/>
      <c r="E128" s="598"/>
      <c r="F128" s="598"/>
      <c r="G128" s="598"/>
      <c r="H128" s="598"/>
      <c r="I128" s="599"/>
      <c r="J128" s="600"/>
      <c r="K128" s="414"/>
      <c r="M128" s="503"/>
      <c r="N128" s="504"/>
      <c r="O128" s="504"/>
      <c r="P128" s="504"/>
      <c r="Q128" s="504"/>
    </row>
    <row r="129" spans="2:17" s="17" customFormat="1">
      <c r="B129" s="233" t="s">
        <v>35</v>
      </c>
      <c r="C129" s="302"/>
      <c r="D129" s="1078" t="s">
        <v>36</v>
      </c>
      <c r="E129" s="1078"/>
      <c r="F129" s="1078"/>
      <c r="G129" s="1078"/>
      <c r="H129" s="1078"/>
      <c r="I129" s="1079"/>
      <c r="J129" s="601"/>
      <c r="K129" s="429">
        <f>K127/(1-J124)</f>
        <v>4664.3021346469623</v>
      </c>
      <c r="M129" s="503"/>
      <c r="N129" s="504"/>
      <c r="O129" s="504"/>
      <c r="P129" s="504"/>
      <c r="Q129" s="504"/>
    </row>
    <row r="130" spans="2:17" s="17" customFormat="1">
      <c r="B130" s="610"/>
      <c r="C130" s="301"/>
      <c r="D130" s="598"/>
      <c r="E130" s="598"/>
      <c r="F130" s="598"/>
      <c r="G130" s="598"/>
      <c r="H130" s="598"/>
      <c r="I130" s="599"/>
      <c r="J130" s="600"/>
      <c r="K130" s="414"/>
      <c r="M130" s="503"/>
      <c r="N130" s="504"/>
      <c r="O130" s="504"/>
      <c r="P130" s="504"/>
      <c r="Q130" s="504"/>
    </row>
    <row r="131" spans="2:17" s="17" customFormat="1">
      <c r="B131" s="291"/>
      <c r="C131" s="302"/>
      <c r="D131" s="1078" t="s">
        <v>37</v>
      </c>
      <c r="E131" s="1078"/>
      <c r="F131" s="1078"/>
      <c r="G131" s="1078"/>
      <c r="H131" s="1078"/>
      <c r="I131" s="1079"/>
      <c r="J131" s="601"/>
      <c r="K131" s="429">
        <f>TRUNC(K129-K127,2)</f>
        <v>403.46</v>
      </c>
      <c r="M131" s="503"/>
      <c r="N131" s="504"/>
      <c r="O131" s="504"/>
      <c r="P131" s="504"/>
      <c r="Q131" s="504"/>
    </row>
    <row r="132" spans="2:17" s="17" customFormat="1">
      <c r="B132" s="291"/>
      <c r="C132" s="606"/>
      <c r="D132" s="606"/>
      <c r="E132" s="606"/>
      <c r="F132" s="606"/>
      <c r="G132" s="606"/>
      <c r="H132" s="606"/>
      <c r="I132" s="606"/>
      <c r="J132" s="606"/>
      <c r="K132" s="295"/>
      <c r="M132" s="503"/>
      <c r="N132" s="504"/>
      <c r="O132" s="504"/>
      <c r="P132" s="504"/>
      <c r="Q132" s="504"/>
    </row>
    <row r="133" spans="2:17" s="17" customFormat="1">
      <c r="B133" s="1064" t="s">
        <v>83</v>
      </c>
      <c r="C133" s="1064"/>
      <c r="D133" s="1064"/>
      <c r="E133" s="1064"/>
      <c r="F133" s="1064"/>
      <c r="G133" s="1064"/>
      <c r="H133" s="1064"/>
      <c r="I133" s="1064"/>
      <c r="J133" s="1064"/>
      <c r="K133" s="1064"/>
      <c r="M133" s="503"/>
      <c r="N133" s="504"/>
      <c r="O133" s="504"/>
      <c r="P133" s="504"/>
      <c r="Q133" s="504"/>
    </row>
    <row r="134" spans="2:17" s="17" customFormat="1">
      <c r="B134" s="1065" t="s">
        <v>22</v>
      </c>
      <c r="C134" s="1065"/>
      <c r="D134" s="1065"/>
      <c r="E134" s="1065"/>
      <c r="F134" s="1065"/>
      <c r="G134" s="1065"/>
      <c r="H134" s="1065"/>
      <c r="I134" s="1065"/>
      <c r="J134" s="1065"/>
      <c r="K134" s="604" t="s">
        <v>1</v>
      </c>
      <c r="M134" s="503"/>
      <c r="N134" s="504"/>
      <c r="O134" s="504"/>
      <c r="P134" s="504"/>
      <c r="Q134" s="504"/>
    </row>
    <row r="135" spans="2:17" s="17" customFormat="1">
      <c r="B135" s="238" t="s">
        <v>7</v>
      </c>
      <c r="C135" s="1044" t="str">
        <f>B31</f>
        <v>MÓDULO 1 - COMPOSIÇÃO DA REMUNERAÇÃO</v>
      </c>
      <c r="D135" s="1044"/>
      <c r="E135" s="1044"/>
      <c r="F135" s="1044"/>
      <c r="G135" s="1044"/>
      <c r="H135" s="1044"/>
      <c r="I135" s="1044"/>
      <c r="J135" s="1044"/>
      <c r="K135" s="355">
        <f>K42</f>
        <v>1993.8679999999999</v>
      </c>
      <c r="M135" s="595"/>
      <c r="N135" s="504"/>
      <c r="O135" s="504"/>
      <c r="P135" s="504"/>
      <c r="Q135" s="504"/>
    </row>
    <row r="136" spans="2:17" s="17" customFormat="1">
      <c r="B136" s="240" t="s">
        <v>8</v>
      </c>
      <c r="C136" s="1044" t="str">
        <f>B45</f>
        <v>MÓDULO 2 – ENCARGOS E BENEFÍCIOS ANUAIS, MENSAIS E DIÁRIOS</v>
      </c>
      <c r="D136" s="1044"/>
      <c r="E136" s="1044"/>
      <c r="F136" s="1044"/>
      <c r="G136" s="1044"/>
      <c r="H136" s="1044"/>
      <c r="I136" s="1044"/>
      <c r="J136" s="1044"/>
      <c r="K136" s="426">
        <f>K74</f>
        <v>1764.81</v>
      </c>
      <c r="M136" s="595"/>
      <c r="N136" s="504"/>
      <c r="O136" s="504"/>
      <c r="P136" s="504"/>
      <c r="Q136" s="504"/>
    </row>
    <row r="137" spans="2:17" s="17" customFormat="1">
      <c r="B137" s="240" t="s">
        <v>9</v>
      </c>
      <c r="C137" s="1044" t="str">
        <f>B75</f>
        <v>MÓDULO 3 – PROVISÃO PARA RESCISÃO</v>
      </c>
      <c r="D137" s="1044"/>
      <c r="E137" s="1044"/>
      <c r="F137" s="1044"/>
      <c r="G137" s="1044"/>
      <c r="H137" s="1044"/>
      <c r="I137" s="1044"/>
      <c r="J137" s="1044"/>
      <c r="K137" s="426">
        <f>K83</f>
        <v>96.160930359280201</v>
      </c>
      <c r="M137" s="595"/>
      <c r="N137" s="504"/>
      <c r="O137" s="504"/>
      <c r="P137" s="504"/>
      <c r="Q137" s="504"/>
    </row>
    <row r="138" spans="2:17" s="17" customFormat="1">
      <c r="B138" s="238" t="s">
        <v>10</v>
      </c>
      <c r="C138" s="1044" t="str">
        <f>B85</f>
        <v>MÓDULO 4 – CUSTO DE REPOSIÇÃO DO PROFISSIONAL AUSENTE</v>
      </c>
      <c r="D138" s="1044"/>
      <c r="E138" s="1044"/>
      <c r="F138" s="1044"/>
      <c r="G138" s="1044"/>
      <c r="H138" s="1044"/>
      <c r="I138" s="1044"/>
      <c r="J138" s="1044"/>
      <c r="K138" s="426">
        <f>K103</f>
        <v>196.39</v>
      </c>
      <c r="M138" s="595"/>
      <c r="N138" s="504"/>
      <c r="O138" s="504"/>
      <c r="P138" s="504"/>
      <c r="Q138" s="504"/>
    </row>
    <row r="139" spans="2:17" s="17" customFormat="1" ht="15.75" thickBot="1">
      <c r="B139" s="424" t="s">
        <v>11</v>
      </c>
      <c r="C139" s="1061" t="str">
        <f>B106</f>
        <v>MÓDULO 5 – INSUMOS DIVERSOS</v>
      </c>
      <c r="D139" s="1061"/>
      <c r="E139" s="1061"/>
      <c r="F139" s="1061"/>
      <c r="G139" s="1061"/>
      <c r="H139" s="1061"/>
      <c r="I139" s="1061"/>
      <c r="J139" s="1061"/>
      <c r="K139" s="427">
        <f>K112</f>
        <v>26.16</v>
      </c>
      <c r="M139" s="595"/>
      <c r="N139" s="504"/>
      <c r="O139" s="504"/>
      <c r="P139" s="504"/>
      <c r="Q139" s="504"/>
    </row>
    <row r="140" spans="2:17" s="17" customFormat="1">
      <c r="B140" s="1062" t="s">
        <v>74</v>
      </c>
      <c r="C140" s="1063"/>
      <c r="D140" s="1063"/>
      <c r="E140" s="1063"/>
      <c r="F140" s="1063"/>
      <c r="G140" s="1063"/>
      <c r="H140" s="1063"/>
      <c r="I140" s="1063"/>
      <c r="J140" s="1063"/>
      <c r="K140" s="430">
        <f>TRUNC(SUM(K135:K139),2)+0.01</f>
        <v>4077.3900000000003</v>
      </c>
      <c r="M140" s="595"/>
      <c r="N140" s="504"/>
      <c r="O140" s="504"/>
      <c r="P140" s="504"/>
      <c r="Q140" s="504"/>
    </row>
    <row r="141" spans="2:17" s="17" customFormat="1">
      <c r="B141" s="425" t="s">
        <v>13</v>
      </c>
      <c r="C141" s="1061" t="str">
        <f>B113</f>
        <v>MÓDULO 6 – CUSTOS INDIRETOS, TRIBUTOS E LUCRO</v>
      </c>
      <c r="D141" s="1061"/>
      <c r="E141" s="1061"/>
      <c r="F141" s="1061"/>
      <c r="G141" s="1061"/>
      <c r="H141" s="1061"/>
      <c r="I141" s="1061"/>
      <c r="J141" s="1061"/>
      <c r="K141" s="428">
        <f>K122</f>
        <v>586.89</v>
      </c>
      <c r="M141" s="595"/>
      <c r="N141" s="504"/>
      <c r="O141" s="504"/>
      <c r="P141" s="504"/>
      <c r="Q141" s="504"/>
    </row>
    <row r="142" spans="2:17" s="17" customFormat="1">
      <c r="B142" s="1064" t="s">
        <v>75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f>(K140+K116+K115)/(1-J124)-0.01</f>
        <v>4664.292134646962</v>
      </c>
      <c r="M142" s="595"/>
      <c r="N142" s="504"/>
      <c r="O142" s="504"/>
      <c r="P142" s="504"/>
      <c r="Q142" s="504"/>
    </row>
    <row r="143" spans="2:17" s="17" customFormat="1">
      <c r="B143" s="1064" t="s">
        <v>100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v>2</v>
      </c>
      <c r="M143" s="503"/>
      <c r="N143" s="504"/>
      <c r="O143" s="504"/>
      <c r="P143" s="504"/>
      <c r="Q143" s="504"/>
    </row>
    <row r="144" spans="2:17" s="17" customFormat="1">
      <c r="B144" s="1064" t="s">
        <v>143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f>K142*K143</f>
        <v>9328.5842692939241</v>
      </c>
      <c r="M144" s="595"/>
      <c r="N144" s="504"/>
      <c r="O144" s="504"/>
      <c r="P144" s="504"/>
      <c r="Q144" s="504"/>
    </row>
    <row r="145" spans="2:17" s="17" customFormat="1">
      <c r="B145" s="1064" t="s">
        <v>122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v>3</v>
      </c>
      <c r="L145" s="16"/>
      <c r="M145" s="503"/>
      <c r="N145" s="504"/>
      <c r="O145" s="504"/>
      <c r="P145" s="504"/>
      <c r="Q145" s="504"/>
    </row>
    <row r="146" spans="2:17" s="17" customFormat="1">
      <c r="B146" s="1064" t="s">
        <v>144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K144*K145-0.01</f>
        <v>27985.742807881772</v>
      </c>
      <c r="M146" s="595"/>
      <c r="N146" s="504"/>
      <c r="O146" s="504"/>
      <c r="P146" s="504"/>
      <c r="Q146" s="504"/>
    </row>
    <row r="147" spans="2:17" s="17" customFormat="1">
      <c r="B147" s="1064" t="s">
        <v>145</v>
      </c>
      <c r="C147" s="1064"/>
      <c r="D147" s="1064"/>
      <c r="E147" s="1064"/>
      <c r="F147" s="1064"/>
      <c r="G147" s="1064"/>
      <c r="H147" s="1064"/>
      <c r="I147" s="1064"/>
      <c r="J147" s="1064"/>
      <c r="K147" s="347">
        <f>K146*12+0.01</f>
        <v>335828.92369458126</v>
      </c>
      <c r="M147" s="503"/>
      <c r="N147" s="504"/>
      <c r="O147" s="504"/>
      <c r="P147" s="504"/>
      <c r="Q147" s="504"/>
    </row>
    <row r="148" spans="2:17" s="29" customFormat="1">
      <c r="B148" s="234"/>
      <c r="C148" s="421"/>
      <c r="D148" s="421"/>
      <c r="E148" s="421"/>
      <c r="F148" s="421"/>
      <c r="G148" s="421"/>
      <c r="H148" s="421"/>
      <c r="I148" s="421"/>
      <c r="J148" s="421"/>
      <c r="K148" s="421"/>
      <c r="M148" s="595"/>
      <c r="N148" s="504"/>
      <c r="O148" s="504"/>
      <c r="P148" s="504"/>
      <c r="Q148" s="504"/>
    </row>
    <row r="149" spans="2:17" s="29" customFormat="1" ht="15" customHeight="1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s="29" customFormat="1" ht="15.75">
      <c r="B150" s="422"/>
      <c r="C150" s="422"/>
      <c r="D150" s="422"/>
      <c r="E150" s="422"/>
      <c r="F150" s="422"/>
      <c r="G150" s="422"/>
      <c r="H150" s="533"/>
      <c r="I150" s="533"/>
      <c r="J150" s="533"/>
      <c r="K150" s="533"/>
      <c r="M150" s="503"/>
      <c r="N150" s="504"/>
      <c r="O150" s="504"/>
      <c r="P150" s="504"/>
      <c r="Q150" s="504"/>
    </row>
    <row r="151" spans="2:17" s="29" customFormat="1" ht="15.75">
      <c r="B151" s="236"/>
      <c r="C151" s="236"/>
      <c r="D151" s="236"/>
      <c r="E151" s="236"/>
      <c r="F151" s="236"/>
      <c r="G151" s="236"/>
      <c r="H151" s="533"/>
      <c r="I151" s="533"/>
      <c r="J151" s="533"/>
      <c r="K151" s="533"/>
      <c r="M151" s="503"/>
      <c r="N151" s="504"/>
      <c r="O151" s="504"/>
      <c r="P151" s="504"/>
      <c r="Q151" s="504"/>
    </row>
    <row r="152" spans="2:17" s="423" customFormat="1" ht="15.75">
      <c r="B152" s="236"/>
      <c r="C152" s="236"/>
      <c r="D152" s="236"/>
      <c r="E152" s="236"/>
      <c r="F152" s="236"/>
      <c r="G152" s="236"/>
      <c r="H152" s="1059"/>
      <c r="I152" s="1059"/>
      <c r="J152" s="1059"/>
      <c r="K152" s="1059"/>
      <c r="M152" s="503"/>
      <c r="N152" s="504"/>
      <c r="O152" s="504"/>
      <c r="P152" s="504"/>
      <c r="Q152" s="504"/>
    </row>
    <row r="153" spans="2:17" s="423" customFormat="1" ht="15.75">
      <c r="B153" s="236"/>
      <c r="C153" s="236"/>
      <c r="D153" s="236"/>
      <c r="E153" s="236"/>
      <c r="F153" s="236"/>
      <c r="G153" s="236"/>
      <c r="H153" s="1060"/>
      <c r="I153" s="1060"/>
      <c r="J153" s="1060"/>
      <c r="K153" s="1060"/>
      <c r="M153" s="503"/>
      <c r="N153" s="504"/>
      <c r="O153" s="504"/>
      <c r="P153" s="504"/>
      <c r="Q153" s="504"/>
    </row>
  </sheetData>
  <mergeCells count="165">
    <mergeCell ref="H152:K152"/>
    <mergeCell ref="H153:K153"/>
    <mergeCell ref="B142:J142"/>
    <mergeCell ref="B143:J143"/>
    <mergeCell ref="B144:J144"/>
    <mergeCell ref="B145:J145"/>
    <mergeCell ref="B146:J146"/>
    <mergeCell ref="B147:J147"/>
    <mergeCell ref="C136:J136"/>
    <mergeCell ref="C137:J137"/>
    <mergeCell ref="C138:J138"/>
    <mergeCell ref="C139:J139"/>
    <mergeCell ref="B140:J140"/>
    <mergeCell ref="C141:J141"/>
    <mergeCell ref="D127:I127"/>
    <mergeCell ref="D129:I129"/>
    <mergeCell ref="D131:I131"/>
    <mergeCell ref="B133:K133"/>
    <mergeCell ref="B134:J134"/>
    <mergeCell ref="C135:J135"/>
    <mergeCell ref="C121:I121"/>
    <mergeCell ref="B122:I122"/>
    <mergeCell ref="D123:K123"/>
    <mergeCell ref="D124:I124"/>
    <mergeCell ref="J124:K125"/>
    <mergeCell ref="D125:I125"/>
    <mergeCell ref="C115:I115"/>
    <mergeCell ref="C116:I116"/>
    <mergeCell ref="C117:K117"/>
    <mergeCell ref="C118:I118"/>
    <mergeCell ref="C119:I119"/>
    <mergeCell ref="C120:I120"/>
    <mergeCell ref="C108:I108"/>
    <mergeCell ref="C109:I109"/>
    <mergeCell ref="C111:I111"/>
    <mergeCell ref="B112:I112"/>
    <mergeCell ref="B113:K113"/>
    <mergeCell ref="C114:I114"/>
    <mergeCell ref="C110:I110"/>
    <mergeCell ref="C102:J102"/>
    <mergeCell ref="B103:J103"/>
    <mergeCell ref="B104:I104"/>
    <mergeCell ref="B105:K105"/>
    <mergeCell ref="B106:K106"/>
    <mergeCell ref="C107:J107"/>
    <mergeCell ref="B95:J95"/>
    <mergeCell ref="C96:J96"/>
    <mergeCell ref="B97:J97"/>
    <mergeCell ref="B99:K99"/>
    <mergeCell ref="B100:J100"/>
    <mergeCell ref="C101:J101"/>
    <mergeCell ref="C89:I89"/>
    <mergeCell ref="C90:I90"/>
    <mergeCell ref="C91:I91"/>
    <mergeCell ref="C92:I92"/>
    <mergeCell ref="B93:I93"/>
    <mergeCell ref="B94:K94"/>
    <mergeCell ref="B83:I83"/>
    <mergeCell ref="C84:K84"/>
    <mergeCell ref="B85:K85"/>
    <mergeCell ref="B86:I86"/>
    <mergeCell ref="C87:I87"/>
    <mergeCell ref="C88:I88"/>
    <mergeCell ref="C77:I77"/>
    <mergeCell ref="C78:I78"/>
    <mergeCell ref="C79:I79"/>
    <mergeCell ref="C80:I80"/>
    <mergeCell ref="C81:I81"/>
    <mergeCell ref="C82:I82"/>
    <mergeCell ref="C71:J71"/>
    <mergeCell ref="C72:J72"/>
    <mergeCell ref="C73:J73"/>
    <mergeCell ref="C74:J74"/>
    <mergeCell ref="B75:K75"/>
    <mergeCell ref="C76:I76"/>
    <mergeCell ref="C65:J65"/>
    <mergeCell ref="M66:N66"/>
    <mergeCell ref="B67:J67"/>
    <mergeCell ref="C68:K68"/>
    <mergeCell ref="B69:K69"/>
    <mergeCell ref="B70:J70"/>
    <mergeCell ref="B60:I60"/>
    <mergeCell ref="C61:K61"/>
    <mergeCell ref="M61:N61"/>
    <mergeCell ref="B62:J62"/>
    <mergeCell ref="C63:J63"/>
    <mergeCell ref="C64:J64"/>
    <mergeCell ref="C55:I55"/>
    <mergeCell ref="C56:I56"/>
    <mergeCell ref="C57:I57"/>
    <mergeCell ref="C58:I58"/>
    <mergeCell ref="C59:I59"/>
    <mergeCell ref="M59:N59"/>
    <mergeCell ref="M50:N50"/>
    <mergeCell ref="B51:I51"/>
    <mergeCell ref="C52:I52"/>
    <mergeCell ref="M52:N52"/>
    <mergeCell ref="C53:I53"/>
    <mergeCell ref="C54:I54"/>
    <mergeCell ref="B45:K45"/>
    <mergeCell ref="B46:I46"/>
    <mergeCell ref="C47:I47"/>
    <mergeCell ref="C48:I48"/>
    <mergeCell ref="B49:I49"/>
    <mergeCell ref="B50:K50"/>
    <mergeCell ref="C39:I39"/>
    <mergeCell ref="C40:I40"/>
    <mergeCell ref="B41:J41"/>
    <mergeCell ref="B42:J42"/>
    <mergeCell ref="N43:Q43"/>
    <mergeCell ref="M44:N44"/>
    <mergeCell ref="C34:I34"/>
    <mergeCell ref="C35:I35"/>
    <mergeCell ref="M35:Q35"/>
    <mergeCell ref="C36:I36"/>
    <mergeCell ref="C37:I37"/>
    <mergeCell ref="C38:I38"/>
    <mergeCell ref="M38:P38"/>
    <mergeCell ref="C29:J29"/>
    <mergeCell ref="C30:K30"/>
    <mergeCell ref="B31:K31"/>
    <mergeCell ref="C32:I32"/>
    <mergeCell ref="C33:I33"/>
    <mergeCell ref="M33:P33"/>
    <mergeCell ref="B24:K24"/>
    <mergeCell ref="C25:J25"/>
    <mergeCell ref="C26:J26"/>
    <mergeCell ref="M26:P26"/>
    <mergeCell ref="C27:J27"/>
    <mergeCell ref="C28:J28"/>
    <mergeCell ref="M28:Q28"/>
    <mergeCell ref="I20:K20"/>
    <mergeCell ref="B22:K22"/>
    <mergeCell ref="C13:G13"/>
    <mergeCell ref="H13:K13"/>
    <mergeCell ref="M13:P13"/>
    <mergeCell ref="C14:G14"/>
    <mergeCell ref="H14:K14"/>
    <mergeCell ref="C15:G15"/>
    <mergeCell ref="H15:K15"/>
    <mergeCell ref="M15:Q15"/>
    <mergeCell ref="M73:P73"/>
    <mergeCell ref="B1:K1"/>
    <mergeCell ref="M1:Q1"/>
    <mergeCell ref="B2:K2"/>
    <mergeCell ref="M2:Q2"/>
    <mergeCell ref="B3:I3"/>
    <mergeCell ref="M3:Q3"/>
    <mergeCell ref="C8:G8"/>
    <mergeCell ref="H8:K8"/>
    <mergeCell ref="H9:K9"/>
    <mergeCell ref="B10:K10"/>
    <mergeCell ref="B11:K11"/>
    <mergeCell ref="C12:G12"/>
    <mergeCell ref="H12:K12"/>
    <mergeCell ref="B4:K4"/>
    <mergeCell ref="M4:Q4"/>
    <mergeCell ref="B5:K5"/>
    <mergeCell ref="H6:K6"/>
    <mergeCell ref="C7:G7"/>
    <mergeCell ref="H7:K7"/>
    <mergeCell ref="B17:K17"/>
    <mergeCell ref="B19:G19"/>
    <mergeCell ref="I19:K19"/>
    <mergeCell ref="B20:G20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3" orientation="portrait" r:id="rId1"/>
  <rowBreaks count="1" manualBreakCount="1">
    <brk id="83" min="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B1:R153"/>
  <sheetViews>
    <sheetView view="pageBreakPreview" topLeftCell="B138" zoomScaleNormal="55" zoomScaleSheetLayoutView="100" zoomScalePageLayoutView="55" workbookViewId="0">
      <selection activeCell="C158" sqref="C158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31.7109375" style="236" customWidth="1"/>
    <col min="8" max="8" width="23.85546875" style="236" customWidth="1"/>
    <col min="9" max="9" width="9.42578125" style="236" customWidth="1"/>
    <col min="10" max="10" width="8.7109375" style="236" customWidth="1"/>
    <col min="11" max="11" width="18.85546875" style="236" customWidth="1"/>
    <col min="12" max="12" width="9" style="2" bestFit="1" customWidth="1"/>
    <col min="13" max="13" width="37.28515625" style="503" customWidth="1"/>
    <col min="14" max="14" width="13.85546875" style="504" customWidth="1"/>
    <col min="15" max="15" width="18" style="504" bestFit="1" customWidth="1"/>
    <col min="16" max="16" width="19.140625" style="504" customWidth="1"/>
    <col min="17" max="17" width="18.5703125" style="504" customWidth="1"/>
    <col min="18" max="18" width="9.5703125" style="2" bestFit="1" customWidth="1"/>
    <col min="19" max="16384" width="9.140625" style="2"/>
  </cols>
  <sheetData>
    <row r="1" spans="2:17" s="6" customFormat="1" ht="14.45" customHeight="1">
      <c r="B1" s="987"/>
      <c r="C1" s="987"/>
      <c r="D1" s="987"/>
      <c r="E1" s="987"/>
      <c r="F1" s="987"/>
      <c r="G1" s="987"/>
      <c r="H1" s="987"/>
      <c r="I1" s="987"/>
      <c r="J1" s="987"/>
      <c r="K1" s="987"/>
      <c r="L1" s="5"/>
      <c r="M1" s="1090"/>
      <c r="N1" s="1090"/>
      <c r="O1" s="1090"/>
      <c r="P1" s="1090"/>
      <c r="Q1" s="1090"/>
    </row>
    <row r="2" spans="2:17" s="6" customFormat="1" ht="12.75">
      <c r="B2" s="989" t="s">
        <v>139</v>
      </c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7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/>
      <c r="K3" s="343"/>
      <c r="L3" s="5"/>
      <c r="M3" s="997"/>
      <c r="N3" s="997"/>
      <c r="O3" s="997"/>
      <c r="P3" s="997"/>
      <c r="Q3" s="997"/>
    </row>
    <row r="4" spans="2:17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7" s="6" customFormat="1" ht="12.75">
      <c r="B5" s="1014" t="s">
        <v>373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7" s="6" customFormat="1" ht="12.75">
      <c r="B6" s="614" t="s">
        <v>128</v>
      </c>
      <c r="C6" s="313" t="s">
        <v>129</v>
      </c>
      <c r="D6" s="314"/>
      <c r="E6" s="314"/>
      <c r="F6" s="314"/>
      <c r="G6" s="314"/>
      <c r="H6" s="1015">
        <v>44503</v>
      </c>
      <c r="I6" s="1015"/>
      <c r="J6" s="1015"/>
      <c r="K6" s="1015"/>
      <c r="L6" s="5"/>
      <c r="M6" s="591" t="s">
        <v>356</v>
      </c>
      <c r="N6" s="322">
        <v>4</v>
      </c>
      <c r="O6" s="510">
        <v>15</v>
      </c>
      <c r="P6" s="322">
        <v>0</v>
      </c>
      <c r="Q6" s="592">
        <f t="shared" ref="Q6:Q12" si="0">N6*O6</f>
        <v>60</v>
      </c>
    </row>
    <row r="7" spans="2:17" s="6" customFormat="1" ht="12.75">
      <c r="B7" s="614" t="s">
        <v>8</v>
      </c>
      <c r="C7" s="1001" t="s">
        <v>130</v>
      </c>
      <c r="D7" s="1002"/>
      <c r="E7" s="1002"/>
      <c r="F7" s="1002"/>
      <c r="G7" s="1003"/>
      <c r="H7" s="1015" t="s">
        <v>378</v>
      </c>
      <c r="I7" s="1015"/>
      <c r="J7" s="1015"/>
      <c r="K7" s="1015"/>
      <c r="L7" s="5"/>
      <c r="M7" s="591" t="s">
        <v>357</v>
      </c>
      <c r="N7" s="322">
        <v>4</v>
      </c>
      <c r="O7" s="510">
        <v>15</v>
      </c>
      <c r="P7" s="322">
        <v>0</v>
      </c>
      <c r="Q7" s="592">
        <f t="shared" si="0"/>
        <v>60</v>
      </c>
    </row>
    <row r="8" spans="2:17" s="6" customFormat="1" ht="12.75">
      <c r="B8" s="614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20</v>
      </c>
      <c r="P8" s="322">
        <v>0</v>
      </c>
      <c r="Q8" s="592">
        <f t="shared" si="0"/>
        <v>40</v>
      </c>
    </row>
    <row r="9" spans="2:17" s="6" customFormat="1" ht="12.75">
      <c r="B9" s="614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4</v>
      </c>
      <c r="O9" s="510">
        <v>5</v>
      </c>
      <c r="P9" s="322">
        <v>0</v>
      </c>
      <c r="Q9" s="592">
        <f t="shared" si="0"/>
        <v>20</v>
      </c>
    </row>
    <row r="10" spans="2:17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10</v>
      </c>
      <c r="P10" s="322">
        <v>0</v>
      </c>
      <c r="Q10" s="592">
        <f t="shared" si="0"/>
        <v>20</v>
      </c>
    </row>
    <row r="11" spans="2:17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358</v>
      </c>
      <c r="N11" s="322">
        <v>2</v>
      </c>
      <c r="O11" s="510">
        <v>8</v>
      </c>
      <c r="P11" s="322">
        <v>0</v>
      </c>
      <c r="Q11" s="592">
        <f t="shared" si="0"/>
        <v>16</v>
      </c>
    </row>
    <row r="12" spans="2:17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12 horas noturna 12x36 de segunda a domingo</v>
      </c>
      <c r="I12" s="1010"/>
      <c r="J12" s="1010"/>
      <c r="K12" s="1010"/>
      <c r="L12" s="5"/>
      <c r="M12" s="591" t="s">
        <v>359</v>
      </c>
      <c r="N12" s="322">
        <v>2</v>
      </c>
      <c r="O12" s="510">
        <v>10</v>
      </c>
      <c r="P12" s="322">
        <v>0</v>
      </c>
      <c r="Q12" s="592">
        <f t="shared" si="0"/>
        <v>20</v>
      </c>
    </row>
    <row r="13" spans="2:17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669">
        <f>SUM(Q6:Q12)/33</f>
        <v>7.1515151515151514</v>
      </c>
    </row>
    <row r="14" spans="2:17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7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44197</v>
      </c>
      <c r="I15" s="1024"/>
      <c r="J15" s="1024"/>
      <c r="K15" s="1024"/>
      <c r="L15" s="5"/>
      <c r="M15" s="986" t="s">
        <v>360</v>
      </c>
      <c r="N15" s="986"/>
      <c r="O15" s="986"/>
      <c r="P15" s="986"/>
      <c r="Q15" s="986"/>
    </row>
    <row r="16" spans="2:17" s="17" customFormat="1" ht="12.75">
      <c r="B16" s="291"/>
      <c r="C16" s="606"/>
      <c r="D16" s="602"/>
      <c r="E16" s="602"/>
      <c r="F16" s="602"/>
      <c r="G16" s="602"/>
      <c r="H16" s="602"/>
      <c r="I16" s="602"/>
      <c r="J16" s="602"/>
      <c r="K16" s="607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361</v>
      </c>
      <c r="N17" s="326">
        <v>3</v>
      </c>
      <c r="O17" s="515">
        <v>50</v>
      </c>
      <c r="P17" s="326">
        <v>24</v>
      </c>
      <c r="Q17" s="516">
        <f>(N17*O17)/P17</f>
        <v>6.25</v>
      </c>
    </row>
    <row r="18" spans="2:17" s="17" customFormat="1" ht="12.75">
      <c r="B18" s="291"/>
      <c r="C18" s="606"/>
      <c r="D18" s="602"/>
      <c r="E18" s="602"/>
      <c r="F18" s="602"/>
      <c r="G18" s="602"/>
      <c r="H18" s="602"/>
      <c r="I18" s="602"/>
      <c r="J18" s="606"/>
      <c r="K18" s="607"/>
      <c r="M18" s="327" t="s">
        <v>362</v>
      </c>
      <c r="N18" s="326">
        <v>2</v>
      </c>
      <c r="O18" s="515">
        <v>15</v>
      </c>
      <c r="P18" s="326">
        <v>12</v>
      </c>
      <c r="Q18" s="515">
        <f>N18*O18/P18</f>
        <v>2.5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613" t="s">
        <v>26</v>
      </c>
      <c r="I19" s="1018" t="s">
        <v>347</v>
      </c>
      <c r="J19" s="1018"/>
      <c r="K19" s="1018"/>
      <c r="M19" s="328" t="s">
        <v>363</v>
      </c>
      <c r="N19" s="326">
        <v>10</v>
      </c>
      <c r="O19" s="515">
        <v>15</v>
      </c>
      <c r="P19" s="326">
        <v>12</v>
      </c>
      <c r="Q19" s="515">
        <f t="shared" ref="Q19" si="1">(N19*O19)/P19</f>
        <v>12.5</v>
      </c>
    </row>
    <row r="20" spans="2:17" s="17" customFormat="1" ht="12.75">
      <c r="B20" s="1019" t="str">
        <f>H12</f>
        <v>Vigilância Armada 12 horas noturna 12x36 de segunda a domingo</v>
      </c>
      <c r="C20" s="1020"/>
      <c r="D20" s="1020"/>
      <c r="E20" s="1020"/>
      <c r="F20" s="1020"/>
      <c r="G20" s="1020"/>
      <c r="H20" s="317" t="s">
        <v>94</v>
      </c>
      <c r="I20" s="1021">
        <v>4</v>
      </c>
      <c r="J20" s="1021"/>
      <c r="K20" s="1021"/>
      <c r="M20" s="328" t="s">
        <v>364</v>
      </c>
      <c r="N20" s="322">
        <v>3</v>
      </c>
      <c r="O20" s="510">
        <v>15</v>
      </c>
      <c r="P20" s="322">
        <v>60</v>
      </c>
      <c r="Q20" s="510">
        <f>(N20*O20)/P20</f>
        <v>0.75</v>
      </c>
    </row>
    <row r="21" spans="2:17" s="17" customFormat="1" ht="12.75">
      <c r="B21" s="291"/>
      <c r="C21" s="606"/>
      <c r="D21" s="602"/>
      <c r="E21" s="602"/>
      <c r="F21" s="602"/>
      <c r="G21" s="602"/>
      <c r="H21" s="602"/>
      <c r="I21" s="602"/>
      <c r="J21" s="602"/>
      <c r="K21" s="607"/>
      <c r="M21" s="321" t="s">
        <v>365</v>
      </c>
      <c r="N21" s="322">
        <v>3</v>
      </c>
      <c r="O21" s="510">
        <v>10</v>
      </c>
      <c r="P21" s="322">
        <v>12</v>
      </c>
      <c r="Q21" s="510">
        <f>(N21*O21)/P21</f>
        <v>2.5</v>
      </c>
    </row>
    <row r="22" spans="2:17" s="17" customFormat="1" ht="25.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366</v>
      </c>
      <c r="N22" s="322">
        <v>3</v>
      </c>
      <c r="O22" s="510">
        <v>30</v>
      </c>
      <c r="P22" s="322">
        <v>24</v>
      </c>
      <c r="Q22" s="510">
        <f t="shared" ref="Q22:Q25" si="2">(N22*O22)/P22</f>
        <v>3.75</v>
      </c>
    </row>
    <row r="23" spans="2:17" s="17" customFormat="1" ht="12.75">
      <c r="B23" s="291"/>
      <c r="C23" s="602"/>
      <c r="D23" s="602"/>
      <c r="E23" s="602"/>
      <c r="F23" s="602"/>
      <c r="G23" s="602"/>
      <c r="H23" s="602"/>
      <c r="I23" s="602"/>
      <c r="J23" s="602"/>
      <c r="K23" s="607"/>
      <c r="M23" s="328" t="s">
        <v>367</v>
      </c>
      <c r="N23" s="322">
        <v>1</v>
      </c>
      <c r="O23" s="510">
        <v>70</v>
      </c>
      <c r="P23" s="322">
        <v>60</v>
      </c>
      <c r="Q23" s="510">
        <f t="shared" si="2"/>
        <v>1.1666666666666667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M24" s="328" t="s">
        <v>368</v>
      </c>
      <c r="N24" s="322">
        <v>1</v>
      </c>
      <c r="O24" s="510">
        <v>80</v>
      </c>
      <c r="P24" s="322">
        <v>24</v>
      </c>
      <c r="Q24" s="510">
        <f t="shared" si="2"/>
        <v>3.3333333333333335</v>
      </c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328" t="s">
        <v>369</v>
      </c>
      <c r="N25" s="322">
        <v>1</v>
      </c>
      <c r="O25" s="510">
        <v>50</v>
      </c>
      <c r="P25" s="322">
        <v>12</v>
      </c>
      <c r="Q25" s="510">
        <f t="shared" si="2"/>
        <v>4.166666666666667</v>
      </c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986" t="s">
        <v>147</v>
      </c>
      <c r="N26" s="986"/>
      <c r="O26" s="986"/>
      <c r="P26" s="986"/>
      <c r="Q26" s="668">
        <f>SUM(Q17:Q25)/10</f>
        <v>3.6916666666666664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986" t="s">
        <v>354</v>
      </c>
      <c r="N28" s="986"/>
      <c r="O28" s="986"/>
      <c r="P28" s="986"/>
      <c r="Q28" s="986"/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3" t="s">
        <v>114</v>
      </c>
      <c r="N29" s="324" t="s">
        <v>115</v>
      </c>
      <c r="O29" s="324" t="s">
        <v>116</v>
      </c>
      <c r="P29" s="324" t="s">
        <v>117</v>
      </c>
      <c r="Q29" s="324" t="s">
        <v>97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220</v>
      </c>
      <c r="N30" s="322">
        <v>3</v>
      </c>
      <c r="O30" s="510">
        <v>280</v>
      </c>
      <c r="P30" s="326">
        <v>120</v>
      </c>
      <c r="Q30" s="516">
        <f>(N30*O30)/P30</f>
        <v>7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328" t="s">
        <v>342</v>
      </c>
      <c r="N31" s="322">
        <v>60</v>
      </c>
      <c r="O31" s="510">
        <v>5</v>
      </c>
      <c r="P31" s="326">
        <v>60</v>
      </c>
      <c r="Q31" s="515">
        <f t="shared" ref="Q31:Q32" si="3">N31*O31/P31</f>
        <v>5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609" t="s">
        <v>3</v>
      </c>
      <c r="K32" s="609" t="s">
        <v>1</v>
      </c>
      <c r="M32" s="328" t="s">
        <v>355</v>
      </c>
      <c r="N32" s="322">
        <v>3</v>
      </c>
      <c r="O32" s="510">
        <v>48</v>
      </c>
      <c r="P32" s="326">
        <v>60</v>
      </c>
      <c r="Q32" s="515">
        <f t="shared" si="3"/>
        <v>2.4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712">
        <f>K27</f>
        <v>1372.86</v>
      </c>
      <c r="L33" s="21"/>
      <c r="M33" s="986" t="s">
        <v>147</v>
      </c>
      <c r="N33" s="986"/>
      <c r="O33" s="986"/>
      <c r="P33" s="986"/>
      <c r="Q33" s="668">
        <f>SUM(Q30:Q32)/10</f>
        <v>1.44</v>
      </c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261">
        <v>0.3</v>
      </c>
      <c r="K34" s="712">
        <f>K33*J34</f>
        <v>411.85799999999995</v>
      </c>
      <c r="L34" s="21"/>
    </row>
    <row r="35" spans="2:18" s="17" customFormat="1" ht="15" customHeight="1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120</v>
      </c>
      <c r="K35" s="712">
        <f>((K33+K34)/192)*0.2*J35</f>
        <v>223.08975000000001</v>
      </c>
      <c r="L35" s="22"/>
      <c r="M35" s="986" t="s">
        <v>370</v>
      </c>
      <c r="N35" s="986"/>
      <c r="O35" s="986"/>
      <c r="P35" s="986"/>
      <c r="Q35" s="986"/>
      <c r="R35" s="23"/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712">
        <f>((K33+K34+K35)/192)*1.5*15</f>
        <v>235.28997070312499</v>
      </c>
      <c r="L36" s="22"/>
      <c r="M36" s="323" t="s">
        <v>114</v>
      </c>
      <c r="N36" s="324" t="s">
        <v>115</v>
      </c>
      <c r="O36" s="324" t="s">
        <v>116</v>
      </c>
      <c r="P36" s="324" t="s">
        <v>117</v>
      </c>
      <c r="Q36" s="324" t="s">
        <v>97</v>
      </c>
      <c r="R36" s="16"/>
    </row>
    <row r="37" spans="2:18" s="17" customFormat="1" ht="15" customHeight="1">
      <c r="B37" s="238"/>
      <c r="C37" s="243"/>
      <c r="D37" s="1027" t="s">
        <v>111</v>
      </c>
      <c r="E37" s="1027"/>
      <c r="F37" s="1027"/>
      <c r="G37" s="1027"/>
      <c r="H37" s="1027"/>
      <c r="I37" s="1027"/>
      <c r="J37" s="278">
        <v>0</v>
      </c>
      <c r="K37" s="276">
        <f>J37*15</f>
        <v>0</v>
      </c>
      <c r="L37" s="22"/>
      <c r="M37" s="635" t="s">
        <v>371</v>
      </c>
      <c r="N37" s="322">
        <v>1</v>
      </c>
      <c r="O37" s="510">
        <v>0</v>
      </c>
      <c r="P37" s="326">
        <v>60</v>
      </c>
      <c r="Q37" s="516">
        <f>(N37*O37)/P37</f>
        <v>0</v>
      </c>
    </row>
    <row r="38" spans="2:18" s="17" customFormat="1" ht="15" customHeight="1">
      <c r="B38" s="238"/>
      <c r="C38" s="609"/>
      <c r="D38" s="1027" t="s">
        <v>110</v>
      </c>
      <c r="E38" s="1027"/>
      <c r="F38" s="1027"/>
      <c r="G38" s="1027"/>
      <c r="H38" s="1027"/>
      <c r="I38" s="1027"/>
      <c r="J38" s="278">
        <v>0</v>
      </c>
      <c r="K38" s="276">
        <f>K37/6</f>
        <v>0</v>
      </c>
      <c r="L38" s="22"/>
      <c r="M38" s="986" t="s">
        <v>147</v>
      </c>
      <c r="N38" s="986"/>
      <c r="O38" s="986"/>
      <c r="P38" s="986"/>
      <c r="Q38" s="329">
        <f>Q37</f>
        <v>0</v>
      </c>
    </row>
    <row r="39" spans="2:18" s="17" customFormat="1" ht="15" customHeight="1">
      <c r="B39" s="238"/>
      <c r="C39" s="609"/>
      <c r="D39" s="1027" t="s">
        <v>112</v>
      </c>
      <c r="E39" s="1027"/>
      <c r="F39" s="1027"/>
      <c r="G39" s="1027"/>
      <c r="H39" s="1027"/>
      <c r="I39" s="1027"/>
      <c r="J39" s="279">
        <v>0</v>
      </c>
      <c r="K39" s="276">
        <f>J39*J35</f>
        <v>0</v>
      </c>
      <c r="L39" s="22"/>
      <c r="M39" s="503"/>
      <c r="N39" s="618"/>
      <c r="O39" s="618"/>
      <c r="P39" s="618"/>
      <c r="Q39" s="619"/>
    </row>
    <row r="40" spans="2:18" s="17" customFormat="1" ht="38.25">
      <c r="B40" s="238" t="s">
        <v>11</v>
      </c>
      <c r="C40" s="1027" t="s">
        <v>67</v>
      </c>
      <c r="D40" s="1027"/>
      <c r="E40" s="1027"/>
      <c r="F40" s="1027"/>
      <c r="G40" s="1027"/>
      <c r="H40" s="1027"/>
      <c r="I40" s="1027"/>
      <c r="J40" s="280"/>
      <c r="K40" s="276">
        <v>235.29</v>
      </c>
      <c r="L40" s="22"/>
      <c r="M40" s="635" t="s">
        <v>371</v>
      </c>
      <c r="N40" s="322">
        <v>1</v>
      </c>
      <c r="O40" s="510">
        <v>0</v>
      </c>
      <c r="P40" s="326">
        <v>60</v>
      </c>
      <c r="Q40" s="516">
        <f>(N40*O40)/P40</f>
        <v>0</v>
      </c>
    </row>
    <row r="41" spans="2:18" s="17" customFormat="1" ht="12.75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SUM(K33:K39)</f>
        <v>2243.0977207031251</v>
      </c>
      <c r="L41" s="22"/>
      <c r="M41" s="986" t="s">
        <v>147</v>
      </c>
      <c r="N41" s="986"/>
      <c r="O41" s="986"/>
      <c r="P41" s="986"/>
      <c r="Q41" s="329">
        <f>Q40</f>
        <v>0</v>
      </c>
      <c r="R41" s="23"/>
    </row>
    <row r="42" spans="2:18" s="17" customForma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SUM(K33:K40)</f>
        <v>2478.3877207031251</v>
      </c>
      <c r="L42" s="22"/>
      <c r="M42" s="503"/>
      <c r="N42" s="504"/>
      <c r="O42" s="504"/>
      <c r="P42" s="504"/>
      <c r="Q42" s="504"/>
    </row>
    <row r="43" spans="2:18" s="17" customFormat="1">
      <c r="B43" s="291"/>
      <c r="C43" s="611"/>
      <c r="D43" s="611"/>
      <c r="E43" s="611"/>
      <c r="F43" s="611"/>
      <c r="G43" s="611"/>
      <c r="H43" s="611"/>
      <c r="I43" s="611"/>
      <c r="J43" s="611"/>
      <c r="K43" s="293"/>
      <c r="L43" s="27"/>
      <c r="M43" s="503"/>
      <c r="N43" s="1035"/>
      <c r="O43" s="1035"/>
      <c r="P43" s="1035"/>
      <c r="Q43" s="1035"/>
    </row>
    <row r="44" spans="2:18" s="17" customFormat="1">
      <c r="B44" s="291"/>
      <c r="C44" s="611"/>
      <c r="D44" s="611"/>
      <c r="E44" s="611"/>
      <c r="F44" s="611"/>
      <c r="G44" s="611"/>
      <c r="H44" s="611"/>
      <c r="I44" s="611"/>
      <c r="J44" s="611"/>
      <c r="K44" s="294"/>
      <c r="L44" s="29"/>
      <c r="M44" s="1036" t="s">
        <v>313</v>
      </c>
      <c r="N44" s="1036"/>
      <c r="O44" s="504"/>
      <c r="P44" s="504"/>
      <c r="Q44" s="457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9"/>
      <c r="M45" s="569" t="s">
        <v>314</v>
      </c>
      <c r="N45" s="570">
        <v>25.5</v>
      </c>
      <c r="O45" s="568"/>
      <c r="P45" s="568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612" t="s">
        <v>3</v>
      </c>
      <c r="K46" s="612" t="s">
        <v>1</v>
      </c>
      <c r="L46" s="29"/>
      <c r="M46" s="569" t="s">
        <v>315</v>
      </c>
      <c r="N46" s="571">
        <v>15</v>
      </c>
      <c r="O46" s="568"/>
      <c r="P46" s="568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9.0899999999999995E-2</v>
      </c>
      <c r="K47" s="274">
        <f>K41*J47</f>
        <v>203.89758281191405</v>
      </c>
      <c r="L47" s="29"/>
      <c r="M47" s="569" t="s">
        <v>316</v>
      </c>
      <c r="N47" s="570">
        <f>N45*N46</f>
        <v>382.5</v>
      </c>
      <c r="O47" s="568"/>
      <c r="P47" s="568"/>
      <c r="Q47" s="504"/>
    </row>
    <row r="48" spans="2:18" s="17" customFormat="1">
      <c r="B48" s="238" t="s">
        <v>8</v>
      </c>
      <c r="C48" s="1027" t="s">
        <v>436</v>
      </c>
      <c r="D48" s="1027"/>
      <c r="E48" s="1027"/>
      <c r="F48" s="1027"/>
      <c r="G48" s="1027"/>
      <c r="H48" s="1027"/>
      <c r="I48" s="1027"/>
      <c r="J48" s="411">
        <v>0.1212</v>
      </c>
      <c r="K48" s="274">
        <f>K41*J48</f>
        <v>271.86344374921879</v>
      </c>
      <c r="L48" s="29"/>
      <c r="M48" s="569" t="s">
        <v>317</v>
      </c>
      <c r="N48" s="570">
        <f>N47*5%</f>
        <v>19.125</v>
      </c>
      <c r="O48" s="572" t="s">
        <v>318</v>
      </c>
      <c r="P48" s="585" t="s">
        <v>316</v>
      </c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0.21210000000000001</v>
      </c>
      <c r="K49" s="667">
        <f>SUM(K47:K48)</f>
        <v>475.76102656113284</v>
      </c>
      <c r="L49" s="29"/>
      <c r="M49" s="573" t="s">
        <v>319</v>
      </c>
      <c r="N49" s="570">
        <f>N47-N48</f>
        <v>363.375</v>
      </c>
      <c r="O49" s="575">
        <v>1</v>
      </c>
      <c r="P49" s="584">
        <f>O49*N49</f>
        <v>363.375</v>
      </c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1066" t="s">
        <v>320</v>
      </c>
      <c r="N50" s="1066"/>
      <c r="O50" s="622"/>
      <c r="P50" s="621"/>
      <c r="Q50" s="504"/>
    </row>
    <row r="51" spans="2:17" s="17" customFormat="1">
      <c r="B51" s="1030" t="s">
        <v>420</v>
      </c>
      <c r="C51" s="1030"/>
      <c r="D51" s="1030"/>
      <c r="E51" s="1030"/>
      <c r="F51" s="1030"/>
      <c r="G51" s="1030"/>
      <c r="H51" s="1030"/>
      <c r="I51" s="1030"/>
      <c r="J51" s="608" t="s">
        <v>3</v>
      </c>
      <c r="K51" s="608" t="s">
        <v>1</v>
      </c>
      <c r="L51" s="27"/>
      <c r="M51" s="620"/>
      <c r="N51" s="621"/>
      <c r="O51" s="622"/>
      <c r="P51" s="621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($K$42+$K$49)*J52</f>
        <v>590.82974945285162</v>
      </c>
      <c r="L52" s="27"/>
      <c r="M52" s="1036" t="s">
        <v>321</v>
      </c>
      <c r="N52" s="1036"/>
      <c r="O52" s="568"/>
      <c r="P52" s="568"/>
      <c r="Q52" s="504"/>
    </row>
    <row r="53" spans="2:17" s="17" customFormat="1" ht="14.25" customHeigh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>($K$42+$K$49)*J53</f>
        <v>73.853718681606452</v>
      </c>
      <c r="L53" s="27"/>
      <c r="M53" s="569" t="s">
        <v>322</v>
      </c>
      <c r="N53" s="577">
        <v>3.8</v>
      </c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0.03</v>
      </c>
      <c r="K54" s="273">
        <f t="shared" ref="K54:K58" si="4">($K$42+$K$49)*J54</f>
        <v>88.624462417927731</v>
      </c>
      <c r="L54" s="29"/>
      <c r="M54" s="569" t="s">
        <v>323</v>
      </c>
      <c r="N54" s="577">
        <v>2</v>
      </c>
      <c r="O54" s="568"/>
      <c r="P54" s="568"/>
      <c r="Q54" s="504"/>
    </row>
    <row r="55" spans="2:17" s="17" customFormat="1" ht="14.25" customHeigh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44.312231208963865</v>
      </c>
      <c r="L55" s="29"/>
      <c r="M55" s="569" t="s">
        <v>324</v>
      </c>
      <c r="N55" s="571">
        <v>15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29.541487472642579</v>
      </c>
      <c r="L56" s="29"/>
      <c r="M56" s="569" t="s">
        <v>325</v>
      </c>
      <c r="N56" s="577">
        <f>(N53*N54)*N55</f>
        <v>114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17.724892483585549</v>
      </c>
      <c r="L57" s="29"/>
      <c r="M57" s="569" t="s">
        <v>326</v>
      </c>
      <c r="N57" s="577">
        <f>K33*6%</f>
        <v>82.371599999999987</v>
      </c>
      <c r="O57" s="572" t="s">
        <v>318</v>
      </c>
      <c r="P57" s="585" t="s">
        <v>316</v>
      </c>
      <c r="Q57" s="504"/>
    </row>
    <row r="58" spans="2:17" s="17" customForma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5.908297494528516</v>
      </c>
      <c r="L58" s="29"/>
      <c r="M58" s="573" t="s">
        <v>319</v>
      </c>
      <c r="N58" s="578">
        <f>N56-N57</f>
        <v>31.628400000000013</v>
      </c>
      <c r="O58" s="575">
        <v>1</v>
      </c>
      <c r="P58" s="584">
        <f>O58*N58</f>
        <v>31.628400000000013</v>
      </c>
      <c r="Q58" s="504"/>
    </row>
    <row r="59" spans="2:17" s="17" customForma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>($K$42+$K$49)*J59</f>
        <v>236.33189978114063</v>
      </c>
      <c r="L59" s="29"/>
      <c r="M59" s="1066" t="s">
        <v>327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0.36800000000000005</v>
      </c>
      <c r="K60" s="521">
        <f>TRUNC(SUM(K52:K59),2)</f>
        <v>1087.1199999999999</v>
      </c>
      <c r="L60" s="27">
        <f>L51*J60</f>
        <v>0</v>
      </c>
      <c r="M60" s="625"/>
      <c r="N60" s="620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67" t="s">
        <v>328</v>
      </c>
      <c r="N61" s="1067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701" t="s">
        <v>1</v>
      </c>
      <c r="L62" s="29"/>
      <c r="M62" s="569" t="s">
        <v>329</v>
      </c>
      <c r="N62" s="579">
        <v>109.23</v>
      </c>
      <c r="O62" s="568"/>
      <c r="P62" s="568"/>
      <c r="Q62" s="504"/>
    </row>
    <row r="63" spans="2:17" s="17" customFormat="1" ht="13.5" customHeight="1">
      <c r="B63" s="702" t="s">
        <v>7</v>
      </c>
      <c r="C63" s="1045" t="s">
        <v>113</v>
      </c>
      <c r="D63" s="1046"/>
      <c r="E63" s="1046"/>
      <c r="F63" s="1046"/>
      <c r="G63" s="1046"/>
      <c r="H63" s="1046"/>
      <c r="I63" s="1046"/>
      <c r="J63" s="1047"/>
      <c r="K63" s="703">
        <f>P58</f>
        <v>31.628400000000013</v>
      </c>
      <c r="L63" s="27"/>
      <c r="M63" s="569" t="s">
        <v>330</v>
      </c>
      <c r="N63" s="579">
        <v>1</v>
      </c>
      <c r="O63" s="568"/>
      <c r="P63" s="568"/>
      <c r="Q63" s="504"/>
    </row>
    <row r="64" spans="2:17" s="17" customFormat="1" ht="13.5" customHeight="1">
      <c r="B64" s="702" t="s">
        <v>8</v>
      </c>
      <c r="C64" s="1045" t="s">
        <v>173</v>
      </c>
      <c r="D64" s="1046"/>
      <c r="E64" s="1046"/>
      <c r="F64" s="1046"/>
      <c r="G64" s="1046"/>
      <c r="H64" s="1046"/>
      <c r="I64" s="1046"/>
      <c r="J64" s="1047"/>
      <c r="K64" s="271">
        <f>P49</f>
        <v>363.375</v>
      </c>
      <c r="L64" s="27"/>
      <c r="M64" s="569" t="s">
        <v>331</v>
      </c>
      <c r="N64" s="580">
        <v>1</v>
      </c>
      <c r="O64" s="568"/>
      <c r="P64" s="568"/>
      <c r="Q64" s="504"/>
    </row>
    <row r="65" spans="2:17" s="17" customFormat="1" ht="13.5" customHeight="1">
      <c r="B65" s="702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50"/>
      <c r="K65" s="271">
        <f>N65</f>
        <v>108.23</v>
      </c>
      <c r="L65" s="27"/>
      <c r="M65" s="581" t="s">
        <v>332</v>
      </c>
      <c r="N65" s="583">
        <f>(N62-N63)*N64</f>
        <v>108.23</v>
      </c>
      <c r="O65" s="568"/>
      <c r="P65" s="568"/>
      <c r="Q65" s="504"/>
    </row>
    <row r="66" spans="2:17" s="17" customFormat="1" ht="14.25" customHeight="1">
      <c r="B66" s="702" t="s">
        <v>10</v>
      </c>
      <c r="C66" s="563" t="s">
        <v>432</v>
      </c>
      <c r="D66" s="564"/>
      <c r="E66" s="565"/>
      <c r="F66" s="565"/>
      <c r="G66" s="565"/>
      <c r="H66" s="565"/>
      <c r="I66" s="565"/>
      <c r="J66" s="566"/>
      <c r="K66" s="271">
        <v>10</v>
      </c>
      <c r="L66" s="27"/>
      <c r="M66" s="1066" t="s">
        <v>333</v>
      </c>
      <c r="N66" s="1066"/>
      <c r="O66" s="568"/>
      <c r="P66" s="568"/>
      <c r="Q66" s="504"/>
    </row>
    <row r="67" spans="2:17" s="17" customForma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SUM(K63:K66)</f>
        <v>513.23340000000007</v>
      </c>
      <c r="L67" s="29"/>
      <c r="M67" s="623"/>
      <c r="N67" s="626"/>
      <c r="O67" s="624"/>
      <c r="P67" s="624"/>
      <c r="Q67" s="504"/>
    </row>
    <row r="68" spans="2:17" s="17" customForma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9"/>
      <c r="M68" s="1094"/>
      <c r="N68" s="1094"/>
      <c r="O68" s="568"/>
      <c r="P68" s="568"/>
      <c r="Q68" s="504"/>
    </row>
    <row r="69" spans="2:17" s="17" customFormat="1" ht="36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9"/>
      <c r="M69" s="655" t="s">
        <v>421</v>
      </c>
      <c r="N69" s="654" t="s">
        <v>422</v>
      </c>
      <c r="O69" s="320" t="s">
        <v>117</v>
      </c>
      <c r="P69" s="653" t="s">
        <v>423</v>
      </c>
      <c r="Q69" s="590" t="s">
        <v>97</v>
      </c>
    </row>
    <row r="70" spans="2:17" s="17" customFormat="1" ht="12.75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608" t="s">
        <v>1</v>
      </c>
      <c r="L70" s="29"/>
      <c r="M70" s="656" t="s">
        <v>424</v>
      </c>
      <c r="N70" s="575">
        <v>6</v>
      </c>
      <c r="O70" s="322">
        <v>0</v>
      </c>
      <c r="P70" s="657">
        <v>0.7</v>
      </c>
      <c r="Q70" s="592">
        <f>(N70*P70)</f>
        <v>4.1999999999999993</v>
      </c>
    </row>
    <row r="71" spans="2:17" s="17" customFormat="1" ht="12.75">
      <c r="B71" s="603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475.76102656113284</v>
      </c>
      <c r="L71" s="29"/>
      <c r="M71" s="573" t="s">
        <v>425</v>
      </c>
      <c r="N71" s="572">
        <v>2</v>
      </c>
      <c r="O71" s="322">
        <v>0</v>
      </c>
      <c r="P71" s="657">
        <v>4</v>
      </c>
      <c r="Q71" s="592">
        <f>(N71*P71)</f>
        <v>8</v>
      </c>
    </row>
    <row r="72" spans="2:17" s="17" customFormat="1" ht="12.75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1087.1199999999999</v>
      </c>
      <c r="L72" s="29"/>
      <c r="M72" s="986">
        <v>4</v>
      </c>
      <c r="N72" s="986"/>
      <c r="O72" s="986"/>
      <c r="P72" s="986"/>
      <c r="Q72" s="668">
        <f>(Q70+Q71)/10</f>
        <v>1.22</v>
      </c>
    </row>
    <row r="73" spans="2:17" s="17" customFormat="1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513.23340000000007</v>
      </c>
      <c r="L73" s="29"/>
      <c r="M73" s="568"/>
      <c r="N73" s="630"/>
      <c r="O73" s="568"/>
      <c r="P73" s="568"/>
      <c r="Q73" s="504"/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2076.11</v>
      </c>
      <c r="L74" s="29"/>
      <c r="M74" s="658"/>
      <c r="N74" s="659"/>
      <c r="O74" s="582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1094"/>
      <c r="N75" s="1094"/>
      <c r="O75" s="582"/>
      <c r="P75" s="568"/>
      <c r="Q75" s="504"/>
    </row>
    <row r="76" spans="2:17" s="17" customFormat="1">
      <c r="B76" s="609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609" t="s">
        <v>3</v>
      </c>
      <c r="K76" s="609" t="s">
        <v>1</v>
      </c>
      <c r="L76" s="29"/>
      <c r="M76" s="525"/>
      <c r="N76" s="526"/>
      <c r="O76" s="504"/>
      <c r="P76" s="504"/>
      <c r="Q76" s="504"/>
    </row>
    <row r="77" spans="2:17" s="17" customFormat="1">
      <c r="B77" s="609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709">
        <v>4.1999999999999997E-3</v>
      </c>
      <c r="K77" s="246">
        <f>K42*J77</f>
        <v>10.409228426953124</v>
      </c>
      <c r="L77" s="29"/>
      <c r="M77" s="503"/>
      <c r="N77" s="504"/>
      <c r="O77" s="671"/>
      <c r="P77" s="504"/>
      <c r="Q77" s="504"/>
    </row>
    <row r="78" spans="2:17" s="17" customFormat="1">
      <c r="B78" s="609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3.3599999999999998E-4</v>
      </c>
      <c r="K78" s="677">
        <f>K77*J78</f>
        <v>3.4975007514562494E-3</v>
      </c>
      <c r="L78" s="29"/>
      <c r="M78" s="503"/>
      <c r="N78" s="504"/>
      <c r="O78" s="504"/>
      <c r="P78" s="504"/>
      <c r="Q78" s="504"/>
    </row>
    <row r="79" spans="2:17" s="17" customFormat="1">
      <c r="B79" s="609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2.18E-2</v>
      </c>
      <c r="K79" s="242">
        <f>K42*J79</f>
        <v>54.028852311328123</v>
      </c>
      <c r="L79" s="29"/>
      <c r="M79" s="503"/>
      <c r="N79" s="504"/>
      <c r="O79" s="671"/>
      <c r="P79" s="504"/>
      <c r="Q79" s="504"/>
    </row>
    <row r="80" spans="2:17" s="17" customFormat="1">
      <c r="B80" s="609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K79*J80</f>
        <v>1.0505610171647135</v>
      </c>
      <c r="L80" s="29"/>
      <c r="M80" s="503"/>
      <c r="N80" s="504"/>
      <c r="O80" s="504"/>
      <c r="P80" s="504"/>
      <c r="Q80" s="504"/>
    </row>
    <row r="81" spans="2:17" s="17" customFormat="1">
      <c r="B81" s="609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7.1555555555555565E-3</v>
      </c>
      <c r="K81" s="242">
        <f>K80*J81</f>
        <v>7.5173477228230624E-3</v>
      </c>
      <c r="L81" s="29"/>
      <c r="M81" s="503"/>
      <c r="N81" s="504"/>
      <c r="O81" s="504"/>
      <c r="P81" s="504"/>
      <c r="Q81" s="504"/>
    </row>
    <row r="82" spans="2:17" s="17" customFormat="1">
      <c r="B82" s="609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2.18E-2</v>
      </c>
      <c r="K82" s="242">
        <f>K42*J82</f>
        <v>54.028852311328123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7.4735999999999997E-2</v>
      </c>
      <c r="K83" s="260">
        <f>SUM(K77:K82)</f>
        <v>119.52850891524837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609" t="s">
        <v>3</v>
      </c>
      <c r="K86" s="609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609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v>9.0899999999999995E-2</v>
      </c>
      <c r="K87" s="242">
        <f>$K$42*J87</f>
        <v>225.28544381191406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2">
        <f t="shared" ref="K88:K92" si="5">$K$42*J88</f>
        <v>11.152744743164062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4.0000000000000002E-4</v>
      </c>
      <c r="K89" s="242">
        <f t="shared" si="5"/>
        <v>0.99135508828125007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2.7000000000000001E-3</v>
      </c>
      <c r="K90" s="242">
        <f t="shared" si="5"/>
        <v>6.6916468458984379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0</v>
      </c>
      <c r="K91" s="242">
        <f t="shared" si="5"/>
        <v>0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2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9.849999999999999E-2</v>
      </c>
      <c r="K93" s="260">
        <f>SUM(K87:K92)</f>
        <v>244.1211904892578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608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609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v>0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0</v>
      </c>
      <c r="L97" s="29"/>
      <c r="M97" s="503"/>
      <c r="N97" s="504"/>
      <c r="O97" s="504"/>
      <c r="P97" s="504"/>
      <c r="Q97" s="504"/>
    </row>
    <row r="98" spans="2:17" s="17" customFormat="1">
      <c r="B98" s="605"/>
      <c r="C98" s="606"/>
      <c r="D98" s="606"/>
      <c r="E98" s="606"/>
      <c r="F98" s="606"/>
      <c r="G98" s="606"/>
      <c r="H98" s="606"/>
      <c r="I98" s="606"/>
      <c r="J98" s="606"/>
      <c r="K98" s="607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608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609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244.1211904892578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0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244.12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0.75333600000000001</v>
      </c>
      <c r="K104" s="520">
        <f>K93+K83+K60+K49</f>
        <v>1926.530725965639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608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608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609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7.1515151515151514</v>
      </c>
      <c r="L108" s="29"/>
      <c r="M108" s="503"/>
      <c r="N108" s="504"/>
      <c r="O108" s="504"/>
      <c r="P108" s="504"/>
      <c r="Q108" s="504"/>
    </row>
    <row r="109" spans="2:17" s="17" customFormat="1">
      <c r="B109" s="609" t="s">
        <v>8</v>
      </c>
      <c r="C109" s="1038" t="s">
        <v>426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Q26+Q72</f>
        <v>4.9116666666666662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428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Q33+Q40</f>
        <v>1.44</v>
      </c>
      <c r="L110" s="29"/>
      <c r="M110" s="503"/>
      <c r="N110" s="504"/>
      <c r="O110" s="504"/>
      <c r="P110" s="504"/>
      <c r="Q110" s="504"/>
    </row>
    <row r="111" spans="2:17" s="17" customFormat="1">
      <c r="B111" s="250" t="s">
        <v>10</v>
      </c>
      <c r="C111" s="1027"/>
      <c r="D111" s="1027"/>
      <c r="E111" s="1027"/>
      <c r="F111" s="1027"/>
      <c r="G111" s="1027"/>
      <c r="H111" s="1027"/>
      <c r="I111" s="1027"/>
      <c r="J111" s="238"/>
      <c r="K111" s="242"/>
      <c r="L111" s="29"/>
      <c r="M111" s="503"/>
      <c r="N111" s="504"/>
      <c r="O111" s="504"/>
      <c r="P111" s="504"/>
      <c r="Q111" s="504"/>
    </row>
    <row r="112" spans="2:17" s="17" customFormat="1">
      <c r="B112" s="1083" t="s">
        <v>70</v>
      </c>
      <c r="C112" s="1083"/>
      <c r="D112" s="1083"/>
      <c r="E112" s="1083"/>
      <c r="F112" s="1083"/>
      <c r="G112" s="1083"/>
      <c r="H112" s="1083"/>
      <c r="I112" s="1083"/>
      <c r="J112" s="419" t="s">
        <v>0</v>
      </c>
      <c r="K112" s="415">
        <f>TRUNC(SUM(K108:K111),2)</f>
        <v>13.5</v>
      </c>
      <c r="L112" s="29"/>
      <c r="M112" s="503"/>
      <c r="N112" s="504"/>
      <c r="O112" s="504"/>
      <c r="P112" s="504"/>
      <c r="Q112" s="504"/>
    </row>
    <row r="113" spans="2:18" s="17" customFormat="1">
      <c r="B113" s="1084" t="s">
        <v>71</v>
      </c>
      <c r="C113" s="1084"/>
      <c r="D113" s="1084"/>
      <c r="E113" s="1084"/>
      <c r="F113" s="1084"/>
      <c r="G113" s="1084"/>
      <c r="H113" s="1084"/>
      <c r="I113" s="1084"/>
      <c r="J113" s="1084"/>
      <c r="K113" s="1084"/>
      <c r="L113" s="29"/>
      <c r="M113" s="503"/>
      <c r="N113" s="504"/>
      <c r="O113" s="504"/>
      <c r="P113" s="504"/>
      <c r="Q113" s="504"/>
    </row>
    <row r="114" spans="2:18" s="17" customFormat="1">
      <c r="B114" s="609">
        <v>6</v>
      </c>
      <c r="C114" s="1085" t="s">
        <v>18</v>
      </c>
      <c r="D114" s="1085"/>
      <c r="E114" s="1085"/>
      <c r="F114" s="1085"/>
      <c r="G114" s="1085"/>
      <c r="H114" s="1085"/>
      <c r="I114" s="1085"/>
      <c r="J114" s="609" t="s">
        <v>3</v>
      </c>
      <c r="K114" s="609" t="s">
        <v>1</v>
      </c>
      <c r="L114" s="29"/>
      <c r="M114" s="503"/>
      <c r="N114" s="504"/>
      <c r="O114" s="504"/>
      <c r="P114" s="504"/>
      <c r="Q114" s="504"/>
    </row>
    <row r="115" spans="2:18" s="17" customFormat="1">
      <c r="B115" s="609" t="s">
        <v>7</v>
      </c>
      <c r="C115" s="1044" t="s">
        <v>21</v>
      </c>
      <c r="D115" s="1044"/>
      <c r="E115" s="1044"/>
      <c r="F115" s="1044"/>
      <c r="G115" s="1044"/>
      <c r="H115" s="1044"/>
      <c r="I115" s="1044"/>
      <c r="J115" s="411">
        <v>7.4999999999999997E-3</v>
      </c>
      <c r="K115" s="355">
        <f>TRUNC(J115*K140,2)</f>
        <v>36.979999999999997</v>
      </c>
      <c r="L115" s="29"/>
      <c r="M115" s="503"/>
      <c r="N115" s="504"/>
      <c r="O115" s="504"/>
      <c r="P115" s="504"/>
      <c r="Q115" s="504"/>
      <c r="R115" s="128"/>
    </row>
    <row r="116" spans="2:18" s="17" customFormat="1">
      <c r="B116" s="243" t="s">
        <v>8</v>
      </c>
      <c r="C116" s="1044" t="s">
        <v>4</v>
      </c>
      <c r="D116" s="1044"/>
      <c r="E116" s="1044"/>
      <c r="F116" s="1044"/>
      <c r="G116" s="1044"/>
      <c r="H116" s="1044"/>
      <c r="I116" s="1044"/>
      <c r="J116" s="411">
        <v>8.6E-3</v>
      </c>
      <c r="K116" s="355">
        <f>TRUNC(J116*(K115+K140),2)</f>
        <v>42.73</v>
      </c>
      <c r="M116" s="503"/>
      <c r="N116" s="504"/>
      <c r="O116" s="504"/>
      <c r="P116" s="504"/>
      <c r="Q116" s="504"/>
    </row>
    <row r="117" spans="2:18" s="17" customFormat="1">
      <c r="B117" s="604" t="s">
        <v>9</v>
      </c>
      <c r="C117" s="1086" t="s">
        <v>28</v>
      </c>
      <c r="D117" s="1087"/>
      <c r="E117" s="1087"/>
      <c r="F117" s="1087"/>
      <c r="G117" s="1087"/>
      <c r="H117" s="1087"/>
      <c r="I117" s="1087"/>
      <c r="J117" s="1088"/>
      <c r="K117" s="1089"/>
      <c r="L117" s="25"/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82</v>
      </c>
      <c r="D118" s="1044"/>
      <c r="E118" s="1044"/>
      <c r="F118" s="1044"/>
      <c r="G118" s="1044"/>
      <c r="H118" s="1044"/>
      <c r="I118" s="1044"/>
      <c r="J118" s="245">
        <v>6.4999999999999997E-3</v>
      </c>
      <c r="K118" s="426">
        <f>TRUNC(J118*K129,2)</f>
        <v>35.65</v>
      </c>
      <c r="M118" s="503"/>
      <c r="N118" s="504"/>
      <c r="O118" s="504"/>
      <c r="P118" s="504"/>
      <c r="Q118" s="504"/>
    </row>
    <row r="119" spans="2:18" s="17" customFormat="1">
      <c r="B119" s="243" t="s">
        <v>29</v>
      </c>
      <c r="C119" s="1044" t="s">
        <v>77</v>
      </c>
      <c r="D119" s="1044"/>
      <c r="E119" s="1044"/>
      <c r="F119" s="1044"/>
      <c r="G119" s="1044"/>
      <c r="H119" s="1044"/>
      <c r="I119" s="1044"/>
      <c r="J119" s="245">
        <v>0.03</v>
      </c>
      <c r="K119" s="426">
        <f>TRUNC(J119*K129,2)</f>
        <v>164.57</v>
      </c>
      <c r="L119" s="25">
        <f>K144</f>
        <v>10971.728872468526</v>
      </c>
      <c r="M119" s="503"/>
      <c r="N119" s="504"/>
      <c r="O119" s="504"/>
      <c r="P119" s="504"/>
      <c r="Q119" s="504"/>
    </row>
    <row r="120" spans="2:18" s="17" customFormat="1">
      <c r="B120" s="243" t="s">
        <v>30</v>
      </c>
      <c r="C120" s="1044" t="s">
        <v>80</v>
      </c>
      <c r="D120" s="1044"/>
      <c r="E120" s="1044"/>
      <c r="F120" s="1044"/>
      <c r="G120" s="1044"/>
      <c r="H120" s="1044"/>
      <c r="I120" s="1044"/>
      <c r="J120" s="247" t="s">
        <v>79</v>
      </c>
      <c r="K120" s="426">
        <v>0</v>
      </c>
      <c r="L120" s="17">
        <v>10971.73</v>
      </c>
      <c r="M120" s="503"/>
      <c r="N120" s="504"/>
      <c r="O120" s="504"/>
      <c r="P120" s="504"/>
      <c r="Q120" s="504"/>
    </row>
    <row r="121" spans="2:18" s="17" customFormat="1">
      <c r="B121" s="243" t="s">
        <v>31</v>
      </c>
      <c r="C121" s="1044" t="s">
        <v>78</v>
      </c>
      <c r="D121" s="1044"/>
      <c r="E121" s="1044"/>
      <c r="F121" s="1044"/>
      <c r="G121" s="1044"/>
      <c r="H121" s="1044"/>
      <c r="I121" s="1044"/>
      <c r="J121" s="245">
        <v>0.05</v>
      </c>
      <c r="K121" s="426">
        <f>TRUNC(J121*K129,2)</f>
        <v>274.29000000000002</v>
      </c>
      <c r="L121" s="25">
        <f>L119-L120</f>
        <v>-1.1275314736849396E-3</v>
      </c>
      <c r="M121" s="503"/>
      <c r="N121" s="504"/>
      <c r="O121" s="504"/>
      <c r="P121" s="504"/>
      <c r="Q121" s="504"/>
    </row>
    <row r="122" spans="2:18" s="17" customFormat="1">
      <c r="B122" s="1080" t="s">
        <v>72</v>
      </c>
      <c r="C122" s="1080"/>
      <c r="D122" s="1080"/>
      <c r="E122" s="1080"/>
      <c r="F122" s="1080"/>
      <c r="G122" s="1080"/>
      <c r="H122" s="1080"/>
      <c r="I122" s="1080"/>
      <c r="J122" s="420">
        <f>SUM(J115:J121)</f>
        <v>0.1026</v>
      </c>
      <c r="K122" s="523">
        <f>TRUNC(SUM(K115:K121),2)</f>
        <v>554.22</v>
      </c>
      <c r="M122" s="503"/>
      <c r="N122" s="504"/>
      <c r="O122" s="504"/>
      <c r="P122" s="504"/>
      <c r="Q122" s="504"/>
      <c r="R122" s="127"/>
    </row>
    <row r="123" spans="2:18" s="17" customFormat="1">
      <c r="B123" s="291"/>
      <c r="C123" s="606"/>
      <c r="D123" s="1081"/>
      <c r="E123" s="1081"/>
      <c r="F123" s="1081"/>
      <c r="G123" s="1081"/>
      <c r="H123" s="1081"/>
      <c r="I123" s="1081"/>
      <c r="J123" s="1081"/>
      <c r="K123" s="1082"/>
      <c r="M123" s="503"/>
      <c r="N123" s="504"/>
      <c r="O123" s="504"/>
      <c r="P123" s="504"/>
      <c r="Q123" s="504"/>
    </row>
    <row r="124" spans="2:18" s="17" customFormat="1">
      <c r="B124" s="300" t="s">
        <v>32</v>
      </c>
      <c r="C124" s="301"/>
      <c r="D124" s="1071" t="s">
        <v>33</v>
      </c>
      <c r="E124" s="1071"/>
      <c r="F124" s="1071"/>
      <c r="G124" s="1071"/>
      <c r="H124" s="1071"/>
      <c r="I124" s="1072"/>
      <c r="J124" s="1073">
        <f>TRUNC(J118+J119+J121,4)</f>
        <v>8.6499999999999994E-2</v>
      </c>
      <c r="K124" s="1074"/>
      <c r="M124" s="503"/>
      <c r="N124" s="504"/>
      <c r="O124" s="504"/>
      <c r="P124" s="504"/>
      <c r="Q124" s="504"/>
    </row>
    <row r="125" spans="2:18" s="17" customFormat="1">
      <c r="B125" s="233"/>
      <c r="C125" s="302"/>
      <c r="D125" s="1077">
        <v>100</v>
      </c>
      <c r="E125" s="1078"/>
      <c r="F125" s="1078"/>
      <c r="G125" s="1078"/>
      <c r="H125" s="1078"/>
      <c r="I125" s="1079"/>
      <c r="J125" s="1075"/>
      <c r="K125" s="1076"/>
      <c r="M125" s="503"/>
      <c r="N125" s="504"/>
      <c r="O125" s="504"/>
      <c r="P125" s="504"/>
      <c r="Q125" s="504"/>
    </row>
    <row r="126" spans="2:18" s="17" customFormat="1">
      <c r="B126" s="311"/>
      <c r="C126" s="310"/>
      <c r="D126" s="598"/>
      <c r="E126" s="598"/>
      <c r="F126" s="598"/>
      <c r="G126" s="598"/>
      <c r="H126" s="598"/>
      <c r="I126" s="599"/>
      <c r="J126" s="600"/>
      <c r="K126" s="413"/>
      <c r="M126" s="503"/>
      <c r="N126" s="504"/>
      <c r="O126" s="504"/>
      <c r="P126" s="504"/>
      <c r="Q126" s="504"/>
    </row>
    <row r="127" spans="2:18" s="17" customFormat="1">
      <c r="B127" s="233" t="s">
        <v>34</v>
      </c>
      <c r="C127" s="302"/>
      <c r="D127" s="1078" t="s">
        <v>73</v>
      </c>
      <c r="E127" s="1078"/>
      <c r="F127" s="1078"/>
      <c r="G127" s="1078"/>
      <c r="H127" s="1078"/>
      <c r="I127" s="1079"/>
      <c r="J127" s="601"/>
      <c r="K127" s="429">
        <f>TRUNC(K140+K115+K116,2)</f>
        <v>5011.3599999999997</v>
      </c>
      <c r="M127" s="503"/>
      <c r="N127" s="504"/>
      <c r="O127" s="504"/>
      <c r="P127" s="504"/>
      <c r="Q127" s="504"/>
    </row>
    <row r="128" spans="2:18" s="17" customFormat="1">
      <c r="B128" s="300"/>
      <c r="C128" s="301"/>
      <c r="D128" s="598"/>
      <c r="E128" s="598"/>
      <c r="F128" s="598"/>
      <c r="G128" s="598"/>
      <c r="H128" s="598"/>
      <c r="I128" s="599"/>
      <c r="J128" s="600"/>
      <c r="K128" s="414"/>
      <c r="M128" s="503"/>
      <c r="N128" s="504"/>
      <c r="O128" s="504"/>
      <c r="P128" s="504"/>
      <c r="Q128" s="504"/>
    </row>
    <row r="129" spans="2:17" s="17" customFormat="1">
      <c r="B129" s="233" t="s">
        <v>35</v>
      </c>
      <c r="C129" s="302"/>
      <c r="D129" s="1078" t="s">
        <v>36</v>
      </c>
      <c r="E129" s="1078"/>
      <c r="F129" s="1078"/>
      <c r="G129" s="1078"/>
      <c r="H129" s="1078"/>
      <c r="I129" s="1079"/>
      <c r="J129" s="601"/>
      <c r="K129" s="429">
        <f>K127/(1-J124)</f>
        <v>5485.8894362342635</v>
      </c>
      <c r="M129" s="503"/>
      <c r="N129" s="504"/>
      <c r="O129" s="504"/>
      <c r="P129" s="504"/>
      <c r="Q129" s="504"/>
    </row>
    <row r="130" spans="2:17" s="17" customFormat="1">
      <c r="B130" s="610"/>
      <c r="C130" s="301"/>
      <c r="D130" s="598"/>
      <c r="E130" s="598"/>
      <c r="F130" s="598"/>
      <c r="G130" s="598"/>
      <c r="H130" s="598"/>
      <c r="I130" s="599"/>
      <c r="J130" s="600"/>
      <c r="K130" s="414"/>
      <c r="M130" s="503"/>
      <c r="N130" s="504"/>
      <c r="O130" s="504"/>
      <c r="P130" s="504"/>
      <c r="Q130" s="504"/>
    </row>
    <row r="131" spans="2:17" s="17" customFormat="1">
      <c r="B131" s="291"/>
      <c r="C131" s="302"/>
      <c r="D131" s="1078" t="s">
        <v>37</v>
      </c>
      <c r="E131" s="1078"/>
      <c r="F131" s="1078"/>
      <c r="G131" s="1078"/>
      <c r="H131" s="1078"/>
      <c r="I131" s="1079"/>
      <c r="J131" s="601"/>
      <c r="K131" s="429">
        <f>TRUNC(K129-K127,2)</f>
        <v>474.52</v>
      </c>
      <c r="M131" s="503"/>
      <c r="N131" s="504"/>
      <c r="O131" s="504"/>
      <c r="P131" s="504"/>
      <c r="Q131" s="504"/>
    </row>
    <row r="132" spans="2:17" s="17" customFormat="1">
      <c r="B132" s="291"/>
      <c r="C132" s="606"/>
      <c r="D132" s="606"/>
      <c r="E132" s="606"/>
      <c r="F132" s="606"/>
      <c r="G132" s="606"/>
      <c r="H132" s="606"/>
      <c r="I132" s="606"/>
      <c r="J132" s="606"/>
      <c r="K132" s="295"/>
      <c r="M132" s="503"/>
      <c r="N132" s="504"/>
      <c r="O132" s="504"/>
      <c r="P132" s="504"/>
      <c r="Q132" s="504"/>
    </row>
    <row r="133" spans="2:17" s="17" customFormat="1">
      <c r="B133" s="1064" t="s">
        <v>83</v>
      </c>
      <c r="C133" s="1064"/>
      <c r="D133" s="1064"/>
      <c r="E133" s="1064"/>
      <c r="F133" s="1064"/>
      <c r="G133" s="1064"/>
      <c r="H133" s="1064"/>
      <c r="I133" s="1064"/>
      <c r="J133" s="1064"/>
      <c r="K133" s="1064"/>
      <c r="M133" s="503"/>
      <c r="N133" s="504"/>
      <c r="O133" s="504"/>
      <c r="P133" s="504"/>
      <c r="Q133" s="504"/>
    </row>
    <row r="134" spans="2:17" s="17" customFormat="1">
      <c r="B134" s="1065" t="s">
        <v>22</v>
      </c>
      <c r="C134" s="1065"/>
      <c r="D134" s="1065"/>
      <c r="E134" s="1065"/>
      <c r="F134" s="1065"/>
      <c r="G134" s="1065"/>
      <c r="H134" s="1065"/>
      <c r="I134" s="1065"/>
      <c r="J134" s="1065"/>
      <c r="K134" s="604" t="s">
        <v>1</v>
      </c>
      <c r="M134" s="503"/>
      <c r="N134" s="504"/>
      <c r="O134" s="504"/>
      <c r="P134" s="504"/>
      <c r="Q134" s="504"/>
    </row>
    <row r="135" spans="2:17" s="17" customFormat="1">
      <c r="B135" s="238" t="s">
        <v>7</v>
      </c>
      <c r="C135" s="1044" t="str">
        <f>B31</f>
        <v>MÓDULO 1 - COMPOSIÇÃO DA REMUNERAÇÃO</v>
      </c>
      <c r="D135" s="1044"/>
      <c r="E135" s="1044"/>
      <c r="F135" s="1044"/>
      <c r="G135" s="1044"/>
      <c r="H135" s="1044"/>
      <c r="I135" s="1044"/>
      <c r="J135" s="1044"/>
      <c r="K135" s="355">
        <f>K42</f>
        <v>2478.3877207031251</v>
      </c>
      <c r="M135" s="595"/>
      <c r="N135" s="504"/>
      <c r="O135" s="504"/>
      <c r="P135" s="504"/>
      <c r="Q135" s="504"/>
    </row>
    <row r="136" spans="2:17" s="17" customFormat="1">
      <c r="B136" s="240" t="s">
        <v>8</v>
      </c>
      <c r="C136" s="1044" t="str">
        <f>B45</f>
        <v>MÓDULO 2 – ENCARGOS E BENEFÍCIOS ANUAIS, MENSAIS E DIÁRIOS</v>
      </c>
      <c r="D136" s="1044"/>
      <c r="E136" s="1044"/>
      <c r="F136" s="1044"/>
      <c r="G136" s="1044"/>
      <c r="H136" s="1044"/>
      <c r="I136" s="1044"/>
      <c r="J136" s="1044"/>
      <c r="K136" s="426">
        <f>K74</f>
        <v>2076.11</v>
      </c>
      <c r="M136" s="595"/>
      <c r="N136" s="504"/>
      <c r="O136" s="504"/>
      <c r="P136" s="504"/>
      <c r="Q136" s="504"/>
    </row>
    <row r="137" spans="2:17" s="17" customFormat="1">
      <c r="B137" s="240" t="s">
        <v>9</v>
      </c>
      <c r="C137" s="1044" t="str">
        <f>B75</f>
        <v>MÓDULO 3 – PROVISÃO PARA RESCISÃO</v>
      </c>
      <c r="D137" s="1044"/>
      <c r="E137" s="1044"/>
      <c r="F137" s="1044"/>
      <c r="G137" s="1044"/>
      <c r="H137" s="1044"/>
      <c r="I137" s="1044"/>
      <c r="J137" s="1044"/>
      <c r="K137" s="426">
        <f>K83</f>
        <v>119.52850891524837</v>
      </c>
      <c r="M137" s="595"/>
      <c r="N137" s="504"/>
      <c r="O137" s="504"/>
      <c r="P137" s="504"/>
      <c r="Q137" s="504"/>
    </row>
    <row r="138" spans="2:17" s="17" customFormat="1">
      <c r="B138" s="238" t="s">
        <v>10</v>
      </c>
      <c r="C138" s="1044" t="str">
        <f>B85</f>
        <v>MÓDULO 4 – CUSTO DE REPOSIÇÃO DO PROFISSIONAL AUSENTE</v>
      </c>
      <c r="D138" s="1044"/>
      <c r="E138" s="1044"/>
      <c r="F138" s="1044"/>
      <c r="G138" s="1044"/>
      <c r="H138" s="1044"/>
      <c r="I138" s="1044"/>
      <c r="J138" s="1044"/>
      <c r="K138" s="426">
        <f>K103</f>
        <v>244.12</v>
      </c>
      <c r="M138" s="595"/>
      <c r="N138" s="504"/>
      <c r="O138" s="504"/>
      <c r="P138" s="504"/>
      <c r="Q138" s="504"/>
    </row>
    <row r="139" spans="2:17" s="17" customFormat="1" ht="15.75" thickBot="1">
      <c r="B139" s="424" t="s">
        <v>11</v>
      </c>
      <c r="C139" s="1061" t="str">
        <f>B106</f>
        <v>MÓDULO 5 – INSUMOS DIVERSOS</v>
      </c>
      <c r="D139" s="1061"/>
      <c r="E139" s="1061"/>
      <c r="F139" s="1061"/>
      <c r="G139" s="1061"/>
      <c r="H139" s="1061"/>
      <c r="I139" s="1061"/>
      <c r="J139" s="1061"/>
      <c r="K139" s="427">
        <f>K112</f>
        <v>13.5</v>
      </c>
      <c r="M139" s="595"/>
      <c r="N139" s="504"/>
      <c r="O139" s="504"/>
      <c r="P139" s="504"/>
      <c r="Q139" s="504"/>
    </row>
    <row r="140" spans="2:17" s="17" customFormat="1">
      <c r="B140" s="1062" t="s">
        <v>74</v>
      </c>
      <c r="C140" s="1063"/>
      <c r="D140" s="1063"/>
      <c r="E140" s="1063"/>
      <c r="F140" s="1063"/>
      <c r="G140" s="1063"/>
      <c r="H140" s="1063"/>
      <c r="I140" s="1063"/>
      <c r="J140" s="1063"/>
      <c r="K140" s="430">
        <f>TRUNC(SUM(K135:K139),2)+0.01</f>
        <v>4931.6500000000005</v>
      </c>
      <c r="M140" s="595"/>
      <c r="N140" s="504"/>
      <c r="O140" s="504"/>
      <c r="P140" s="504"/>
      <c r="Q140" s="504"/>
    </row>
    <row r="141" spans="2:17" s="17" customFormat="1">
      <c r="B141" s="425" t="s">
        <v>13</v>
      </c>
      <c r="C141" s="1061" t="str">
        <f>B113</f>
        <v>MÓDULO 6 – CUSTOS INDIRETOS, TRIBUTOS E LUCRO</v>
      </c>
      <c r="D141" s="1061"/>
      <c r="E141" s="1061"/>
      <c r="F141" s="1061"/>
      <c r="G141" s="1061"/>
      <c r="H141" s="1061"/>
      <c r="I141" s="1061"/>
      <c r="J141" s="1061"/>
      <c r="K141" s="428">
        <f>K122</f>
        <v>554.22</v>
      </c>
      <c r="M141" s="596"/>
      <c r="N141" s="504"/>
      <c r="O141" s="504"/>
      <c r="P141" s="504"/>
      <c r="Q141" s="504"/>
    </row>
    <row r="142" spans="2:17" s="17" customFormat="1">
      <c r="B142" s="1064" t="s">
        <v>75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f>(K140+K116+K115)/(1-J124)-0.02</f>
        <v>5485.869436234263</v>
      </c>
      <c r="L142" s="16"/>
      <c r="M142" s="595"/>
      <c r="N142" s="504"/>
      <c r="O142" s="504"/>
      <c r="P142" s="504"/>
      <c r="Q142" s="504"/>
    </row>
    <row r="143" spans="2:17" s="17" customFormat="1">
      <c r="B143" s="1064" t="s">
        <v>100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v>2</v>
      </c>
      <c r="M143" s="503"/>
      <c r="N143" s="504"/>
      <c r="O143" s="504"/>
      <c r="P143" s="504"/>
      <c r="Q143" s="504"/>
    </row>
    <row r="144" spans="2:17" s="17" customFormat="1">
      <c r="B144" s="1064" t="s">
        <v>143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f>K142*K143-0.01</f>
        <v>10971.728872468526</v>
      </c>
      <c r="L144" s="25">
        <f>K144</f>
        <v>10971.728872468526</v>
      </c>
      <c r="M144" s="595"/>
      <c r="N144" s="504"/>
      <c r="O144" s="504"/>
      <c r="P144" s="504"/>
      <c r="Q144" s="504"/>
    </row>
    <row r="145" spans="2:17" s="29" customFormat="1">
      <c r="B145" s="1064" t="s">
        <v>122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v>4</v>
      </c>
      <c r="L145" s="29">
        <v>10971.73</v>
      </c>
      <c r="M145" s="503"/>
      <c r="N145" s="504"/>
      <c r="O145" s="504"/>
      <c r="P145" s="504"/>
      <c r="Q145" s="504"/>
    </row>
    <row r="146" spans="2:17" s="29" customFormat="1" ht="15" customHeight="1">
      <c r="B146" s="1064" t="s">
        <v>144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K144*K145+0.02</f>
        <v>43886.9354898741</v>
      </c>
      <c r="L146" s="27">
        <f>L144-L145</f>
        <v>-1.1275314736849396E-3</v>
      </c>
      <c r="M146" s="595"/>
      <c r="N146" s="504"/>
      <c r="O146" s="504"/>
      <c r="P146" s="504"/>
      <c r="Q146" s="504"/>
    </row>
    <row r="147" spans="2:17" s="29" customFormat="1">
      <c r="B147" s="1064" t="s">
        <v>145</v>
      </c>
      <c r="C147" s="1064"/>
      <c r="D147" s="1064"/>
      <c r="E147" s="1064"/>
      <c r="F147" s="1064"/>
      <c r="G147" s="1064"/>
      <c r="H147" s="1064"/>
      <c r="I147" s="1064"/>
      <c r="J147" s="1064"/>
      <c r="K147" s="347">
        <f>K146*12+0.02</f>
        <v>526643.24587848922</v>
      </c>
      <c r="M147" s="503"/>
      <c r="N147" s="504"/>
      <c r="O147" s="504"/>
      <c r="P147" s="504"/>
      <c r="Q147" s="504"/>
    </row>
    <row r="148" spans="2:17" s="29" customFormat="1">
      <c r="B148" s="234"/>
      <c r="C148" s="421"/>
      <c r="D148" s="421"/>
      <c r="E148" s="421"/>
      <c r="F148" s="421"/>
      <c r="G148" s="421"/>
      <c r="H148" s="421"/>
      <c r="I148" s="421"/>
      <c r="J148" s="421"/>
      <c r="K148" s="421" t="s">
        <v>352</v>
      </c>
      <c r="M148" s="595"/>
      <c r="N148" s="504"/>
      <c r="O148" s="504"/>
      <c r="P148" s="504"/>
      <c r="Q148" s="504"/>
    </row>
    <row r="149" spans="2:17" s="423" customFormat="1" ht="15.75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s="423" customFormat="1" ht="15.75">
      <c r="B150" s="422"/>
      <c r="C150" s="422"/>
      <c r="D150" s="422"/>
      <c r="E150" s="422"/>
      <c r="F150" s="422"/>
      <c r="G150" s="422"/>
      <c r="H150" s="533"/>
      <c r="I150" s="533"/>
      <c r="J150" s="533"/>
      <c r="K150" s="533"/>
      <c r="M150" s="503"/>
      <c r="N150" s="504"/>
      <c r="O150" s="504"/>
      <c r="P150" s="504"/>
      <c r="Q150" s="504"/>
    </row>
    <row r="151" spans="2:17" ht="15.75">
      <c r="H151" s="533"/>
      <c r="I151" s="533"/>
      <c r="J151" s="533"/>
      <c r="K151" s="533"/>
    </row>
    <row r="152" spans="2:17" ht="15.75">
      <c r="H152" s="1059"/>
      <c r="I152" s="1059"/>
      <c r="J152" s="1059"/>
      <c r="K152" s="1059"/>
    </row>
    <row r="153" spans="2:17" ht="15.75">
      <c r="H153" s="1060"/>
      <c r="I153" s="1060"/>
      <c r="J153" s="1060"/>
      <c r="K153" s="1060"/>
    </row>
  </sheetData>
  <mergeCells count="168">
    <mergeCell ref="C110:I110"/>
    <mergeCell ref="B144:J144"/>
    <mergeCell ref="B145:J145"/>
    <mergeCell ref="B146:J146"/>
    <mergeCell ref="B147:J147"/>
    <mergeCell ref="H152:K152"/>
    <mergeCell ref="H153:K153"/>
    <mergeCell ref="C138:J138"/>
    <mergeCell ref="C139:J139"/>
    <mergeCell ref="B140:J140"/>
    <mergeCell ref="C141:J141"/>
    <mergeCell ref="B142:J142"/>
    <mergeCell ref="B143:J143"/>
    <mergeCell ref="D131:I131"/>
    <mergeCell ref="B133:K133"/>
    <mergeCell ref="B134:J134"/>
    <mergeCell ref="C135:J135"/>
    <mergeCell ref="C136:J136"/>
    <mergeCell ref="C137:J137"/>
    <mergeCell ref="D123:K123"/>
    <mergeCell ref="D124:I124"/>
    <mergeCell ref="J124:K125"/>
    <mergeCell ref="D125:I125"/>
    <mergeCell ref="D127:I127"/>
    <mergeCell ref="D129:I129"/>
    <mergeCell ref="C117:K117"/>
    <mergeCell ref="C118:I118"/>
    <mergeCell ref="C119:I119"/>
    <mergeCell ref="C120:I120"/>
    <mergeCell ref="C121:I121"/>
    <mergeCell ref="B122:I122"/>
    <mergeCell ref="C111:I111"/>
    <mergeCell ref="B112:I112"/>
    <mergeCell ref="B113:K113"/>
    <mergeCell ref="C114:I114"/>
    <mergeCell ref="C115:I115"/>
    <mergeCell ref="C116:I116"/>
    <mergeCell ref="B104:I104"/>
    <mergeCell ref="B105:K105"/>
    <mergeCell ref="B106:K106"/>
    <mergeCell ref="C107:J107"/>
    <mergeCell ref="C108:I108"/>
    <mergeCell ref="C109:I109"/>
    <mergeCell ref="B97:J97"/>
    <mergeCell ref="B99:K99"/>
    <mergeCell ref="B100:J100"/>
    <mergeCell ref="C101:J101"/>
    <mergeCell ref="C102:J102"/>
    <mergeCell ref="B103:J103"/>
    <mergeCell ref="C91:I91"/>
    <mergeCell ref="C92:I92"/>
    <mergeCell ref="B93:I93"/>
    <mergeCell ref="B94:K94"/>
    <mergeCell ref="B95:J95"/>
    <mergeCell ref="C96:J96"/>
    <mergeCell ref="B85:K85"/>
    <mergeCell ref="B86:I86"/>
    <mergeCell ref="C87:I87"/>
    <mergeCell ref="C88:I88"/>
    <mergeCell ref="C89:I89"/>
    <mergeCell ref="C90:I90"/>
    <mergeCell ref="C79:I79"/>
    <mergeCell ref="C80:I80"/>
    <mergeCell ref="C81:I81"/>
    <mergeCell ref="C82:I82"/>
    <mergeCell ref="B83:I83"/>
    <mergeCell ref="C84:K84"/>
    <mergeCell ref="C74:J74"/>
    <mergeCell ref="B75:K75"/>
    <mergeCell ref="M75:N75"/>
    <mergeCell ref="C76:I76"/>
    <mergeCell ref="C77:I77"/>
    <mergeCell ref="C78:I78"/>
    <mergeCell ref="B69:K69"/>
    <mergeCell ref="B70:J70"/>
    <mergeCell ref="C71:J71"/>
    <mergeCell ref="C72:J72"/>
    <mergeCell ref="C73:J73"/>
    <mergeCell ref="C64:J64"/>
    <mergeCell ref="C65:J65"/>
    <mergeCell ref="M66:N66"/>
    <mergeCell ref="B67:J67"/>
    <mergeCell ref="C68:K68"/>
    <mergeCell ref="M68:N68"/>
    <mergeCell ref="M72:P72"/>
    <mergeCell ref="M59:N59"/>
    <mergeCell ref="B60:I60"/>
    <mergeCell ref="C61:K61"/>
    <mergeCell ref="M61:N61"/>
    <mergeCell ref="B62:J62"/>
    <mergeCell ref="C63:J63"/>
    <mergeCell ref="C54:I54"/>
    <mergeCell ref="C55:I55"/>
    <mergeCell ref="C56:I56"/>
    <mergeCell ref="C57:I57"/>
    <mergeCell ref="C58:I58"/>
    <mergeCell ref="C59:I59"/>
    <mergeCell ref="B50:K50"/>
    <mergeCell ref="M50:N50"/>
    <mergeCell ref="B51:I51"/>
    <mergeCell ref="C52:I52"/>
    <mergeCell ref="M52:N52"/>
    <mergeCell ref="C53:I53"/>
    <mergeCell ref="M44:N44"/>
    <mergeCell ref="B45:K45"/>
    <mergeCell ref="B46:I46"/>
    <mergeCell ref="C47:I47"/>
    <mergeCell ref="C48:I48"/>
    <mergeCell ref="B49:I49"/>
    <mergeCell ref="D39:I39"/>
    <mergeCell ref="C40:I40"/>
    <mergeCell ref="B41:J41"/>
    <mergeCell ref="M41:P41"/>
    <mergeCell ref="B42:J42"/>
    <mergeCell ref="N43:Q43"/>
    <mergeCell ref="C34:I34"/>
    <mergeCell ref="C35:I35"/>
    <mergeCell ref="M35:Q35"/>
    <mergeCell ref="C36:I36"/>
    <mergeCell ref="D37:I37"/>
    <mergeCell ref="D38:I38"/>
    <mergeCell ref="M38:P38"/>
    <mergeCell ref="C29:J29"/>
    <mergeCell ref="C30:K30"/>
    <mergeCell ref="B31:K31"/>
    <mergeCell ref="C32:I32"/>
    <mergeCell ref="C33:I33"/>
    <mergeCell ref="M33:P33"/>
    <mergeCell ref="B24:K24"/>
    <mergeCell ref="C25:J25"/>
    <mergeCell ref="C26:J26"/>
    <mergeCell ref="M26:P26"/>
    <mergeCell ref="C27:J27"/>
    <mergeCell ref="C28:J28"/>
    <mergeCell ref="M28:Q28"/>
    <mergeCell ref="B17:K17"/>
    <mergeCell ref="B19:G19"/>
    <mergeCell ref="I19:K19"/>
    <mergeCell ref="B20:G20"/>
    <mergeCell ref="I20:K20"/>
    <mergeCell ref="B22:K22"/>
    <mergeCell ref="C13:G13"/>
    <mergeCell ref="H13:K13"/>
    <mergeCell ref="M13:P13"/>
    <mergeCell ref="C14:G14"/>
    <mergeCell ref="H14:K14"/>
    <mergeCell ref="C15:G15"/>
    <mergeCell ref="H15:K15"/>
    <mergeCell ref="M15:Q15"/>
    <mergeCell ref="B10:K10"/>
    <mergeCell ref="B11:K11"/>
    <mergeCell ref="C12:G12"/>
    <mergeCell ref="H12:K12"/>
    <mergeCell ref="B4:K4"/>
    <mergeCell ref="M4:Q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  <mergeCell ref="C8:G8"/>
    <mergeCell ref="H8:K8"/>
    <mergeCell ref="H9:K9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2" orientation="portrait" r:id="rId1"/>
  <rowBreaks count="1" manualBreakCount="1">
    <brk id="83" min="1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B1:R153"/>
  <sheetViews>
    <sheetView view="pageBreakPreview" topLeftCell="A107" zoomScale="90" zoomScaleNormal="55" zoomScaleSheetLayoutView="90" workbookViewId="0">
      <selection activeCell="D125" sqref="D125:I125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31.140625" style="236" customWidth="1"/>
    <col min="8" max="8" width="22" style="236" customWidth="1"/>
    <col min="9" max="9" width="7.7109375" style="236" customWidth="1"/>
    <col min="10" max="10" width="13.140625" style="236" customWidth="1"/>
    <col min="11" max="11" width="17.5703125" style="236" customWidth="1"/>
    <col min="12" max="12" width="8.140625" style="2" bestFit="1" customWidth="1"/>
    <col min="13" max="13" width="40.85546875" style="503" customWidth="1"/>
    <col min="14" max="14" width="13.85546875" style="504" customWidth="1"/>
    <col min="15" max="15" width="18" style="504" bestFit="1" customWidth="1"/>
    <col min="16" max="16" width="21.42578125" style="504" customWidth="1"/>
    <col min="17" max="17" width="18.5703125" style="504" customWidth="1"/>
    <col min="18" max="18" width="9.5703125" style="2" bestFit="1" customWidth="1"/>
    <col min="19" max="16384" width="9.140625" style="2"/>
  </cols>
  <sheetData>
    <row r="1" spans="2:17" s="6" customFormat="1" ht="14.45" customHeight="1">
      <c r="B1" s="987"/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/>
      <c r="N1" s="988"/>
      <c r="O1" s="988"/>
      <c r="P1" s="988"/>
      <c r="Q1" s="988"/>
    </row>
    <row r="2" spans="2:17" s="6" customFormat="1" ht="12.75">
      <c r="B2" s="989"/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7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/>
      <c r="K3" s="343"/>
      <c r="L3" s="5"/>
      <c r="M3" s="997"/>
      <c r="N3" s="997"/>
      <c r="O3" s="997"/>
      <c r="P3" s="997"/>
      <c r="Q3" s="997"/>
    </row>
    <row r="4" spans="2:17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7" s="6" customFormat="1" ht="17.25" customHeight="1">
      <c r="B5" s="1014" t="s">
        <v>374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7" s="6" customFormat="1" ht="12.75">
      <c r="B6" s="614" t="s">
        <v>128</v>
      </c>
      <c r="C6" s="313" t="s">
        <v>129</v>
      </c>
      <c r="D6" s="314"/>
      <c r="E6" s="314"/>
      <c r="F6" s="314"/>
      <c r="G6" s="314"/>
      <c r="H6" s="1015">
        <v>44503</v>
      </c>
      <c r="I6" s="1015"/>
      <c r="J6" s="1015"/>
      <c r="K6" s="1015"/>
      <c r="L6" s="5"/>
      <c r="M6" s="591" t="s">
        <v>356</v>
      </c>
      <c r="N6" s="322">
        <v>4</v>
      </c>
      <c r="O6" s="510">
        <v>20</v>
      </c>
      <c r="P6" s="322">
        <v>0</v>
      </c>
      <c r="Q6" s="592">
        <f t="shared" ref="Q6:Q12" si="0">N6*O6</f>
        <v>80</v>
      </c>
    </row>
    <row r="7" spans="2:17" s="6" customFormat="1" ht="12.75">
      <c r="B7" s="614" t="s">
        <v>8</v>
      </c>
      <c r="C7" s="1001" t="s">
        <v>130</v>
      </c>
      <c r="D7" s="1002"/>
      <c r="E7" s="1002"/>
      <c r="F7" s="1002"/>
      <c r="G7" s="1003"/>
      <c r="H7" s="1015" t="s">
        <v>379</v>
      </c>
      <c r="I7" s="1015"/>
      <c r="J7" s="1015"/>
      <c r="K7" s="1015"/>
      <c r="L7" s="5"/>
      <c r="M7" s="591" t="s">
        <v>357</v>
      </c>
      <c r="N7" s="322">
        <v>4</v>
      </c>
      <c r="O7" s="510">
        <v>15</v>
      </c>
      <c r="P7" s="322">
        <v>0</v>
      </c>
      <c r="Q7" s="592">
        <f t="shared" si="0"/>
        <v>60</v>
      </c>
    </row>
    <row r="8" spans="2:17" s="6" customFormat="1" ht="12.75">
      <c r="B8" s="614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30</v>
      </c>
      <c r="P8" s="322">
        <v>0</v>
      </c>
      <c r="Q8" s="592">
        <f t="shared" si="0"/>
        <v>60</v>
      </c>
    </row>
    <row r="9" spans="2:17" s="6" customFormat="1" ht="12.75">
      <c r="B9" s="614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4</v>
      </c>
      <c r="O9" s="510">
        <v>5</v>
      </c>
      <c r="P9" s="322">
        <v>0</v>
      </c>
      <c r="Q9" s="592">
        <f t="shared" si="0"/>
        <v>20</v>
      </c>
    </row>
    <row r="10" spans="2:17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10</v>
      </c>
      <c r="P10" s="322">
        <v>0</v>
      </c>
      <c r="Q10" s="592">
        <f t="shared" si="0"/>
        <v>20</v>
      </c>
    </row>
    <row r="11" spans="2:17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358</v>
      </c>
      <c r="N11" s="322">
        <v>2</v>
      </c>
      <c r="O11" s="510">
        <v>8</v>
      </c>
      <c r="P11" s="322">
        <v>0</v>
      </c>
      <c r="Q11" s="592">
        <f t="shared" si="0"/>
        <v>16</v>
      </c>
    </row>
    <row r="12" spans="2:17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44H SEMANAIS</v>
      </c>
      <c r="I12" s="1010"/>
      <c r="J12" s="1010"/>
      <c r="K12" s="1010"/>
      <c r="L12" s="5"/>
      <c r="M12" s="591" t="s">
        <v>359</v>
      </c>
      <c r="N12" s="322">
        <v>2</v>
      </c>
      <c r="O12" s="510">
        <v>10</v>
      </c>
      <c r="P12" s="322">
        <v>0</v>
      </c>
      <c r="Q12" s="592">
        <f t="shared" si="0"/>
        <v>20</v>
      </c>
    </row>
    <row r="13" spans="2:17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669">
        <f>SUM(Q6:Q12)/33</f>
        <v>8.3636363636363633</v>
      </c>
    </row>
    <row r="14" spans="2:17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7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44197</v>
      </c>
      <c r="I15" s="1024"/>
      <c r="J15" s="1024"/>
      <c r="K15" s="1024"/>
      <c r="L15" s="5"/>
      <c r="M15" s="986" t="s">
        <v>360</v>
      </c>
      <c r="N15" s="986"/>
      <c r="O15" s="986"/>
      <c r="P15" s="986"/>
      <c r="Q15" s="986"/>
    </row>
    <row r="16" spans="2:17" s="17" customFormat="1" ht="12.75">
      <c r="B16" s="291"/>
      <c r="C16" s="606"/>
      <c r="D16" s="602"/>
      <c r="E16" s="602"/>
      <c r="F16" s="602"/>
      <c r="G16" s="602"/>
      <c r="H16" s="602"/>
      <c r="I16" s="602"/>
      <c r="J16" s="602"/>
      <c r="K16" s="607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361</v>
      </c>
      <c r="N17" s="326">
        <v>1</v>
      </c>
      <c r="O17" s="515">
        <v>110</v>
      </c>
      <c r="P17" s="326">
        <v>24</v>
      </c>
      <c r="Q17" s="516">
        <f>(N17*O17)/P17</f>
        <v>4.583333333333333</v>
      </c>
    </row>
    <row r="18" spans="2:17" s="17" customFormat="1" ht="12.75">
      <c r="B18" s="291"/>
      <c r="C18" s="606"/>
      <c r="D18" s="602"/>
      <c r="E18" s="602"/>
      <c r="F18" s="602"/>
      <c r="G18" s="602"/>
      <c r="H18" s="602"/>
      <c r="I18" s="602"/>
      <c r="J18" s="606"/>
      <c r="K18" s="607"/>
      <c r="M18" s="327" t="s">
        <v>362</v>
      </c>
      <c r="N18" s="326">
        <v>0</v>
      </c>
      <c r="O18" s="515">
        <v>0</v>
      </c>
      <c r="P18" s="326">
        <v>12</v>
      </c>
      <c r="Q18" s="515">
        <f>N18*O18/P18</f>
        <v>0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613" t="s">
        <v>26</v>
      </c>
      <c r="I19" s="1018" t="s">
        <v>336</v>
      </c>
      <c r="J19" s="1018"/>
      <c r="K19" s="1018"/>
      <c r="M19" s="328" t="s">
        <v>363</v>
      </c>
      <c r="N19" s="326">
        <v>1</v>
      </c>
      <c r="O19" s="515">
        <v>15</v>
      </c>
      <c r="P19" s="326">
        <v>12</v>
      </c>
      <c r="Q19" s="515">
        <f t="shared" ref="Q19" si="1">(N19*O19)/P19</f>
        <v>1.25</v>
      </c>
    </row>
    <row r="20" spans="2:17" s="17" customFormat="1" ht="12.75">
      <c r="B20" s="1019" t="str">
        <f>H12</f>
        <v>Vigilância Armada 44H SEMANAIS</v>
      </c>
      <c r="C20" s="1020"/>
      <c r="D20" s="1020"/>
      <c r="E20" s="1020"/>
      <c r="F20" s="1020"/>
      <c r="G20" s="1020"/>
      <c r="H20" s="317" t="s">
        <v>94</v>
      </c>
      <c r="I20" s="1021">
        <v>1</v>
      </c>
      <c r="J20" s="1021"/>
      <c r="K20" s="1021"/>
      <c r="M20" s="328" t="s">
        <v>364</v>
      </c>
      <c r="N20" s="322">
        <v>1</v>
      </c>
      <c r="O20" s="510">
        <v>25</v>
      </c>
      <c r="P20" s="322">
        <v>60</v>
      </c>
      <c r="Q20" s="510">
        <f>(N20*O20)/P20</f>
        <v>0.41666666666666669</v>
      </c>
    </row>
    <row r="21" spans="2:17" s="17" customFormat="1" ht="12.75">
      <c r="B21" s="291"/>
      <c r="C21" s="606"/>
      <c r="D21" s="602"/>
      <c r="E21" s="602"/>
      <c r="F21" s="602"/>
      <c r="G21" s="602"/>
      <c r="H21" s="602"/>
      <c r="I21" s="602"/>
      <c r="J21" s="602"/>
      <c r="K21" s="607"/>
      <c r="M21" s="321" t="s">
        <v>365</v>
      </c>
      <c r="N21" s="322">
        <v>1</v>
      </c>
      <c r="O21" s="510">
        <v>10</v>
      </c>
      <c r="P21" s="322">
        <v>12</v>
      </c>
      <c r="Q21" s="510">
        <f>(N21*O21)/P21</f>
        <v>0.83333333333333337</v>
      </c>
    </row>
    <row r="22" spans="2:17" s="17" customFormat="1" ht="20.25" customHeight="1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366</v>
      </c>
      <c r="N22" s="322">
        <v>0</v>
      </c>
      <c r="O22" s="510">
        <v>0</v>
      </c>
      <c r="P22" s="322">
        <v>24</v>
      </c>
      <c r="Q22" s="510">
        <f t="shared" ref="Q22:Q25" si="2">(N22*O22)/P22</f>
        <v>0</v>
      </c>
    </row>
    <row r="23" spans="2:17" s="17" customFormat="1" ht="12.75">
      <c r="B23" s="291"/>
      <c r="C23" s="602"/>
      <c r="D23" s="602"/>
      <c r="E23" s="602"/>
      <c r="F23" s="602"/>
      <c r="G23" s="602"/>
      <c r="H23" s="602"/>
      <c r="I23" s="602"/>
      <c r="J23" s="602"/>
      <c r="K23" s="607"/>
      <c r="M23" s="328" t="s">
        <v>367</v>
      </c>
      <c r="N23" s="322">
        <v>1</v>
      </c>
      <c r="O23" s="510">
        <v>100</v>
      </c>
      <c r="P23" s="322">
        <v>60</v>
      </c>
      <c r="Q23" s="510">
        <f t="shared" si="2"/>
        <v>1.6666666666666667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M24" s="328" t="s">
        <v>368</v>
      </c>
      <c r="N24" s="322">
        <v>0</v>
      </c>
      <c r="O24" s="510">
        <v>0</v>
      </c>
      <c r="P24" s="322">
        <v>24</v>
      </c>
      <c r="Q24" s="510">
        <f t="shared" si="2"/>
        <v>0</v>
      </c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328" t="s">
        <v>369</v>
      </c>
      <c r="N25" s="322">
        <v>0</v>
      </c>
      <c r="O25" s="510">
        <v>0</v>
      </c>
      <c r="P25" s="322">
        <v>12</v>
      </c>
      <c r="Q25" s="510">
        <f t="shared" si="2"/>
        <v>0</v>
      </c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986" t="s">
        <v>147</v>
      </c>
      <c r="N26" s="986"/>
      <c r="O26" s="986"/>
      <c r="P26" s="986"/>
      <c r="Q26" s="329">
        <f>Q17+Q18+Q19+Q20+Q21+Q23+Q25</f>
        <v>8.75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986" t="s">
        <v>354</v>
      </c>
      <c r="N28" s="986"/>
      <c r="O28" s="986"/>
      <c r="P28" s="986"/>
      <c r="Q28" s="986"/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3" t="s">
        <v>114</v>
      </c>
      <c r="N29" s="324" t="s">
        <v>115</v>
      </c>
      <c r="O29" s="324" t="s">
        <v>116</v>
      </c>
      <c r="P29" s="324" t="s">
        <v>117</v>
      </c>
      <c r="Q29" s="324" t="s">
        <v>97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220</v>
      </c>
      <c r="N30" s="322">
        <v>1</v>
      </c>
      <c r="O30" s="510">
        <v>750</v>
      </c>
      <c r="P30" s="326">
        <v>120</v>
      </c>
      <c r="Q30" s="516">
        <f>(N30*O30)/P30</f>
        <v>6.25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328" t="s">
        <v>342</v>
      </c>
      <c r="N31" s="322">
        <v>20</v>
      </c>
      <c r="O31" s="510">
        <v>6.33</v>
      </c>
      <c r="P31" s="326">
        <v>60</v>
      </c>
      <c r="Q31" s="515">
        <f t="shared" ref="Q31:Q32" si="3">N31*O31/P31</f>
        <v>2.11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609" t="s">
        <v>3</v>
      </c>
      <c r="K32" s="609" t="s">
        <v>1</v>
      </c>
      <c r="M32" s="328" t="s">
        <v>355</v>
      </c>
      <c r="N32" s="322">
        <v>1</v>
      </c>
      <c r="O32" s="510">
        <v>90</v>
      </c>
      <c r="P32" s="326">
        <v>60</v>
      </c>
      <c r="Q32" s="515">
        <f t="shared" si="3"/>
        <v>1.5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276">
        <f>K27</f>
        <v>1372.86</v>
      </c>
      <c r="M33" s="986" t="s">
        <v>147</v>
      </c>
      <c r="N33" s="986"/>
      <c r="O33" s="986"/>
      <c r="P33" s="986"/>
      <c r="Q33" s="668">
        <f>Q30+Q31+Q32</f>
        <v>9.86</v>
      </c>
    </row>
    <row r="34" spans="2:18" s="17" customFormat="1" ht="15" customHeight="1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617">
        <v>0.3</v>
      </c>
      <c r="K34" s="276">
        <f>K33*J34</f>
        <v>411.85799999999995</v>
      </c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0</v>
      </c>
      <c r="K35" s="276">
        <f>((K33+K34)/220)*0.2*J35</f>
        <v>0</v>
      </c>
      <c r="M35" s="986" t="s">
        <v>370</v>
      </c>
      <c r="N35" s="986"/>
      <c r="O35" s="986"/>
      <c r="P35" s="986"/>
      <c r="Q35" s="986"/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276">
        <f>J36*14.89</f>
        <v>0</v>
      </c>
      <c r="L36" s="21"/>
      <c r="M36" s="323" t="s">
        <v>114</v>
      </c>
      <c r="N36" s="324" t="s">
        <v>115</v>
      </c>
      <c r="O36" s="324" t="s">
        <v>116</v>
      </c>
      <c r="P36" s="324" t="s">
        <v>117</v>
      </c>
      <c r="Q36" s="324" t="s">
        <v>97</v>
      </c>
    </row>
    <row r="37" spans="2:18" s="17" customFormat="1" ht="27" customHeight="1">
      <c r="B37" s="275" t="s">
        <v>11</v>
      </c>
      <c r="C37" s="1032" t="s">
        <v>111</v>
      </c>
      <c r="D37" s="1033"/>
      <c r="E37" s="1033"/>
      <c r="F37" s="1033"/>
      <c r="G37" s="1033"/>
      <c r="H37" s="1033"/>
      <c r="I37" s="1037"/>
      <c r="J37" s="278">
        <v>0</v>
      </c>
      <c r="K37" s="276">
        <f>J37*15</f>
        <v>0</v>
      </c>
      <c r="L37" s="21"/>
      <c r="M37" s="635" t="s">
        <v>371</v>
      </c>
      <c r="N37" s="322">
        <v>1</v>
      </c>
      <c r="O37" s="510">
        <v>0</v>
      </c>
      <c r="P37" s="326">
        <v>60</v>
      </c>
      <c r="Q37" s="516">
        <f>(N37*O37)/P37</f>
        <v>0</v>
      </c>
    </row>
    <row r="38" spans="2:18" s="17" customFormat="1" ht="12.75">
      <c r="B38" s="238" t="s">
        <v>12</v>
      </c>
      <c r="C38" s="1038" t="s">
        <v>110</v>
      </c>
      <c r="D38" s="1039"/>
      <c r="E38" s="1039"/>
      <c r="F38" s="1039"/>
      <c r="G38" s="1039"/>
      <c r="H38" s="1039"/>
      <c r="I38" s="1040"/>
      <c r="J38" s="278">
        <v>0</v>
      </c>
      <c r="K38" s="276">
        <f>K37/6</f>
        <v>0</v>
      </c>
      <c r="L38" s="22"/>
      <c r="M38" s="986" t="s">
        <v>147</v>
      </c>
      <c r="N38" s="986"/>
      <c r="O38" s="986"/>
      <c r="P38" s="986"/>
      <c r="Q38" s="329">
        <f>Q37</f>
        <v>0</v>
      </c>
      <c r="R38" s="23"/>
    </row>
    <row r="39" spans="2:18" s="17" customFormat="1">
      <c r="B39" s="238" t="s">
        <v>13</v>
      </c>
      <c r="C39" s="1038" t="s">
        <v>112</v>
      </c>
      <c r="D39" s="1039"/>
      <c r="E39" s="1039"/>
      <c r="F39" s="1039"/>
      <c r="G39" s="1039"/>
      <c r="H39" s="1039"/>
      <c r="I39" s="1040"/>
      <c r="J39" s="279">
        <v>0</v>
      </c>
      <c r="K39" s="276">
        <f>J39*J35</f>
        <v>0</v>
      </c>
      <c r="L39" s="22"/>
      <c r="M39" s="503"/>
      <c r="N39" s="618"/>
      <c r="O39" s="618"/>
      <c r="P39" s="618"/>
      <c r="Q39" s="619"/>
      <c r="R39" s="16"/>
    </row>
    <row r="40" spans="2:18" s="17" customFormat="1" ht="15" customHeigh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>
        <f>(K35+K36)/6</f>
        <v>0</v>
      </c>
      <c r="L40" s="22"/>
      <c r="M40" s="503"/>
      <c r="N40" s="504"/>
      <c r="O40" s="504"/>
      <c r="P40" s="504"/>
      <c r="Q40" s="504"/>
    </row>
    <row r="41" spans="2:18" s="17" customFormat="1" ht="15" customHeigh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1784.7179999999998</v>
      </c>
      <c r="L41" s="22"/>
      <c r="M41" s="503"/>
      <c r="N41" s="504"/>
      <c r="O41" s="504"/>
      <c r="P41" s="504"/>
      <c r="Q41" s="504"/>
    </row>
    <row r="42" spans="2:18" s="17" customFormat="1" ht="14.25" customHeigh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SUM(K41)</f>
        <v>1784.7179999999998</v>
      </c>
      <c r="L42" s="22"/>
      <c r="M42" s="503"/>
      <c r="N42" s="504"/>
      <c r="O42" s="504"/>
      <c r="P42" s="504"/>
      <c r="Q42" s="504"/>
    </row>
    <row r="43" spans="2:18" s="17" customFormat="1" hidden="1">
      <c r="B43" s="1030" t="s">
        <v>57</v>
      </c>
      <c r="C43" s="1030"/>
      <c r="D43" s="1030"/>
      <c r="E43" s="1030"/>
      <c r="F43" s="1030"/>
      <c r="G43" s="1030"/>
      <c r="H43" s="1030"/>
      <c r="I43" s="1030"/>
      <c r="J43" s="1030"/>
      <c r="K43" s="520">
        <f>K33+K34</f>
        <v>1784.7179999999998</v>
      </c>
      <c r="L43" s="22"/>
      <c r="M43" s="503"/>
      <c r="N43" s="1035"/>
      <c r="O43" s="1035"/>
      <c r="P43" s="1035"/>
      <c r="Q43" s="1035"/>
    </row>
    <row r="44" spans="2:18" s="17" customFormat="1">
      <c r="B44" s="291"/>
      <c r="C44" s="611"/>
      <c r="D44" s="611"/>
      <c r="E44" s="611"/>
      <c r="F44" s="611"/>
      <c r="G44" s="611"/>
      <c r="H44" s="611"/>
      <c r="I44" s="611"/>
      <c r="J44" s="611"/>
      <c r="K44" s="294"/>
      <c r="L44" s="22"/>
      <c r="M44" s="1036" t="s">
        <v>313</v>
      </c>
      <c r="N44" s="1036"/>
      <c r="O44" s="504"/>
      <c r="P44" s="504"/>
      <c r="Q44" s="457"/>
      <c r="R44" s="23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2"/>
      <c r="M45" s="569" t="s">
        <v>314</v>
      </c>
      <c r="N45" s="570">
        <v>25.5</v>
      </c>
      <c r="O45" s="568"/>
      <c r="P45" s="568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612" t="s">
        <v>3</v>
      </c>
      <c r="K46" s="612" t="s">
        <v>1</v>
      </c>
      <c r="L46" s="27"/>
      <c r="M46" s="569" t="s">
        <v>315</v>
      </c>
      <c r="N46" s="571">
        <v>22</v>
      </c>
      <c r="O46" s="568"/>
      <c r="P46" s="568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9.0899999999999995E-2</v>
      </c>
      <c r="K47" s="715">
        <f>K42*J47</f>
        <v>162.23086619999998</v>
      </c>
      <c r="L47" s="27"/>
      <c r="M47" s="569" t="s">
        <v>316</v>
      </c>
      <c r="N47" s="570">
        <f>N45*N46</f>
        <v>561</v>
      </c>
      <c r="O47" s="568"/>
      <c r="P47" s="568"/>
      <c r="Q47" s="504"/>
    </row>
    <row r="48" spans="2:18" s="17" customFormat="1">
      <c r="B48" s="238" t="s">
        <v>8</v>
      </c>
      <c r="C48" s="1027" t="s">
        <v>437</v>
      </c>
      <c r="D48" s="1027"/>
      <c r="E48" s="1027"/>
      <c r="F48" s="1027"/>
      <c r="G48" s="1027"/>
      <c r="H48" s="1027"/>
      <c r="I48" s="1027"/>
      <c r="J48" s="411">
        <v>0.1212</v>
      </c>
      <c r="K48" s="274">
        <f>K42*J48</f>
        <v>216.30782159999998</v>
      </c>
      <c r="L48" s="27"/>
      <c r="M48" s="569" t="s">
        <v>317</v>
      </c>
      <c r="N48" s="570">
        <f>N47*5%</f>
        <v>28.05</v>
      </c>
      <c r="O48" s="572" t="s">
        <v>318</v>
      </c>
      <c r="P48" s="585" t="s">
        <v>316</v>
      </c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0.21210000000000001</v>
      </c>
      <c r="K49" s="521">
        <f>SUM(K47:K48)</f>
        <v>378.53868779999993</v>
      </c>
      <c r="L49" s="29"/>
      <c r="M49" s="573" t="s">
        <v>319</v>
      </c>
      <c r="N49" s="570">
        <f>N47-N48</f>
        <v>532.95000000000005</v>
      </c>
      <c r="O49" s="575">
        <v>1</v>
      </c>
      <c r="P49" s="584">
        <f>O49*N49</f>
        <v>532.95000000000005</v>
      </c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1066" t="s">
        <v>320</v>
      </c>
      <c r="N50" s="1066"/>
      <c r="O50" s="622"/>
      <c r="P50" s="621"/>
      <c r="Q50" s="504"/>
    </row>
    <row r="51" spans="2:17" s="17" customFormat="1">
      <c r="B51" s="1030" t="s">
        <v>420</v>
      </c>
      <c r="C51" s="1030"/>
      <c r="D51" s="1030"/>
      <c r="E51" s="1030"/>
      <c r="F51" s="1030"/>
      <c r="G51" s="1030"/>
      <c r="H51" s="1030"/>
      <c r="I51" s="1030"/>
      <c r="J51" s="608" t="s">
        <v>3</v>
      </c>
      <c r="K51" s="608" t="s">
        <v>1</v>
      </c>
      <c r="L51" s="27"/>
      <c r="M51" s="620"/>
      <c r="N51" s="621"/>
      <c r="O51" s="622"/>
      <c r="P51" s="621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($K$42+$K$49)*J52</f>
        <v>432.65133756</v>
      </c>
      <c r="L52" s="27"/>
      <c r="M52" s="1036" t="s">
        <v>321</v>
      </c>
      <c r="N52" s="1036"/>
      <c r="O52" s="568"/>
      <c r="P52" s="568"/>
      <c r="Q52" s="504"/>
    </row>
    <row r="53" spans="2:17" s="17" customForma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>($K$42+$K$49)*J53</f>
        <v>54.081417195</v>
      </c>
      <c r="L53" s="27"/>
      <c r="M53" s="569" t="s">
        <v>322</v>
      </c>
      <c r="N53" s="577">
        <v>3.8</v>
      </c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0.03</v>
      </c>
      <c r="K54" s="273">
        <f t="shared" ref="K54:K59" si="4">($K$42+$K$49)*J54</f>
        <v>64.897700633999989</v>
      </c>
      <c r="L54" s="29"/>
      <c r="M54" s="569" t="s">
        <v>323</v>
      </c>
      <c r="N54" s="577">
        <v>2</v>
      </c>
      <c r="O54" s="568"/>
      <c r="P54" s="568"/>
      <c r="Q54" s="504"/>
    </row>
    <row r="55" spans="2:17" s="17" customForma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32.448850316999994</v>
      </c>
      <c r="L55" s="29"/>
      <c r="M55" s="569" t="s">
        <v>324</v>
      </c>
      <c r="N55" s="571">
        <v>22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21.632566877999999</v>
      </c>
      <c r="L56" s="29"/>
      <c r="M56" s="569" t="s">
        <v>325</v>
      </c>
      <c r="N56" s="577">
        <f>(N53*N54)*N55</f>
        <v>167.2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12.979540126799998</v>
      </c>
      <c r="L57" s="29"/>
      <c r="M57" s="569" t="s">
        <v>326</v>
      </c>
      <c r="N57" s="577">
        <f>K33*6%</f>
        <v>82.371599999999987</v>
      </c>
      <c r="O57" s="572" t="s">
        <v>318</v>
      </c>
      <c r="P57" s="585" t="s">
        <v>316</v>
      </c>
      <c r="Q57" s="504"/>
    </row>
    <row r="58" spans="2:17" s="17" customFormat="1" ht="14.25" customHeigh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4.3265133755999994</v>
      </c>
      <c r="L58" s="29"/>
      <c r="M58" s="573" t="s">
        <v>319</v>
      </c>
      <c r="N58" s="578">
        <f>N56-N57</f>
        <v>84.828400000000002</v>
      </c>
      <c r="O58" s="575">
        <v>1</v>
      </c>
      <c r="P58" s="584">
        <f>O58*N58</f>
        <v>84.828400000000002</v>
      </c>
      <c r="Q58" s="504"/>
    </row>
    <row r="59" spans="2:17" s="17" customFormat="1" ht="14.25" customHeigh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173.06053502399999</v>
      </c>
      <c r="L59" s="29"/>
      <c r="M59" s="1066" t="s">
        <v>327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0.36800000000000005</v>
      </c>
      <c r="K60" s="521">
        <f>TRUNC(SUM(K52:K59),2)</f>
        <v>796.07</v>
      </c>
      <c r="L60" s="27">
        <f>L51*J60</f>
        <v>0</v>
      </c>
      <c r="M60" s="625"/>
      <c r="N60" s="620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67" t="s">
        <v>328</v>
      </c>
      <c r="N61" s="1067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567" t="s">
        <v>1</v>
      </c>
      <c r="L62" s="29"/>
      <c r="M62" s="569" t="s">
        <v>329</v>
      </c>
      <c r="N62" s="579">
        <v>109.23</v>
      </c>
      <c r="O62" s="568"/>
      <c r="P62" s="568"/>
      <c r="Q62" s="504"/>
    </row>
    <row r="63" spans="2:17" s="17" customFormat="1">
      <c r="B63" s="615" t="s">
        <v>7</v>
      </c>
      <c r="C63" s="1091" t="s">
        <v>113</v>
      </c>
      <c r="D63" s="1092"/>
      <c r="E63" s="1092"/>
      <c r="F63" s="1092"/>
      <c r="G63" s="1092"/>
      <c r="H63" s="1092"/>
      <c r="I63" s="1092"/>
      <c r="J63" s="1093"/>
      <c r="K63" s="616">
        <f>P58</f>
        <v>84.828400000000002</v>
      </c>
      <c r="L63" s="29"/>
      <c r="M63" s="569" t="s">
        <v>330</v>
      </c>
      <c r="N63" s="579">
        <v>1</v>
      </c>
      <c r="O63" s="568"/>
      <c r="P63" s="568"/>
      <c r="Q63" s="504"/>
    </row>
    <row r="64" spans="2:17" s="17" customFormat="1">
      <c r="B64" s="615" t="s">
        <v>8</v>
      </c>
      <c r="C64" s="1091" t="s">
        <v>173</v>
      </c>
      <c r="D64" s="1092"/>
      <c r="E64" s="1092"/>
      <c r="F64" s="1092"/>
      <c r="G64" s="1092"/>
      <c r="H64" s="1092"/>
      <c r="I64" s="1092"/>
      <c r="J64" s="1093"/>
      <c r="K64" s="271">
        <f>P49</f>
        <v>532.95000000000005</v>
      </c>
      <c r="L64" s="29"/>
      <c r="M64" s="569" t="s">
        <v>331</v>
      </c>
      <c r="N64" s="580">
        <v>1</v>
      </c>
      <c r="O64" s="568"/>
      <c r="P64" s="568"/>
      <c r="Q64" s="504"/>
    </row>
    <row r="65" spans="2:17" s="17" customFormat="1" ht="15.75">
      <c r="B65" s="615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95"/>
      <c r="K65" s="271">
        <f>N65</f>
        <v>108.23</v>
      </c>
      <c r="L65" s="29"/>
      <c r="M65" s="581" t="s">
        <v>332</v>
      </c>
      <c r="N65" s="583">
        <f>(N62-N63)*N64</f>
        <v>108.23</v>
      </c>
      <c r="O65" s="568"/>
      <c r="P65" s="568"/>
      <c r="Q65" s="504"/>
    </row>
    <row r="66" spans="2:17" s="17" customFormat="1" ht="13.5" customHeight="1">
      <c r="B66" s="702" t="s">
        <v>10</v>
      </c>
      <c r="C66" s="563" t="s">
        <v>432</v>
      </c>
      <c r="D66" s="564"/>
      <c r="E66" s="565"/>
      <c r="F66" s="565"/>
      <c r="G66" s="565"/>
      <c r="H66" s="565"/>
      <c r="I66" s="565"/>
      <c r="J66" s="566"/>
      <c r="K66" s="271">
        <v>10</v>
      </c>
      <c r="L66" s="29"/>
      <c r="M66" s="1066" t="s">
        <v>333</v>
      </c>
      <c r="N66" s="1066"/>
      <c r="O66" s="568"/>
      <c r="P66" s="568"/>
      <c r="Q66" s="504"/>
    </row>
    <row r="67" spans="2:17" s="17" customFormat="1" ht="13.5" customHeigh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SUM(K63:K66)</f>
        <v>736.00840000000005</v>
      </c>
      <c r="L67" s="27"/>
      <c r="M67" s="623"/>
      <c r="N67" s="626"/>
      <c r="O67" s="624"/>
      <c r="P67" s="624"/>
      <c r="Q67" s="504"/>
    </row>
    <row r="68" spans="2:17" s="17" customFormat="1" ht="13.5" customHeigh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7"/>
      <c r="M68" s="620"/>
      <c r="N68" s="627"/>
      <c r="O68" s="622"/>
      <c r="P68" s="621"/>
      <c r="Q68" s="504"/>
    </row>
    <row r="69" spans="2:17" s="17" customFormat="1" ht="21" customHeight="1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7"/>
      <c r="M69" s="655" t="s">
        <v>421</v>
      </c>
      <c r="N69" s="654" t="s">
        <v>422</v>
      </c>
      <c r="O69" s="320" t="s">
        <v>117</v>
      </c>
      <c r="P69" s="653" t="s">
        <v>423</v>
      </c>
      <c r="Q69" s="590" t="s">
        <v>97</v>
      </c>
    </row>
    <row r="70" spans="2:17" s="17" customFormat="1" ht="12.75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608" t="s">
        <v>1</v>
      </c>
      <c r="L70" s="29"/>
      <c r="M70" s="656" t="s">
        <v>424</v>
      </c>
      <c r="N70" s="575">
        <v>6</v>
      </c>
      <c r="O70" s="322">
        <v>0</v>
      </c>
      <c r="P70" s="657">
        <v>0.7</v>
      </c>
      <c r="Q70" s="592">
        <f>(N70*P70)</f>
        <v>4.1999999999999993</v>
      </c>
    </row>
    <row r="71" spans="2:17" s="17" customFormat="1" ht="12.75">
      <c r="B71" s="603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378.53868779999993</v>
      </c>
      <c r="L71" s="29"/>
      <c r="M71" s="573" t="s">
        <v>425</v>
      </c>
      <c r="N71" s="572">
        <v>2</v>
      </c>
      <c r="O71" s="322">
        <v>0</v>
      </c>
      <c r="P71" s="657">
        <v>7</v>
      </c>
      <c r="Q71" s="592">
        <f>(N71*P71)</f>
        <v>14</v>
      </c>
    </row>
    <row r="72" spans="2:17" s="17" customFormat="1" ht="12.75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796.07</v>
      </c>
      <c r="L72" s="29"/>
      <c r="M72" s="986" t="s">
        <v>147</v>
      </c>
      <c r="N72" s="986"/>
      <c r="O72" s="986"/>
      <c r="P72" s="986"/>
      <c r="Q72" s="668">
        <f>Q70+Q71</f>
        <v>18.2</v>
      </c>
    </row>
    <row r="73" spans="2:17" s="17" customFormat="1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736.00840000000005</v>
      </c>
      <c r="L73" s="29"/>
      <c r="M73" s="568"/>
      <c r="N73" s="628"/>
      <c r="O73" s="568"/>
      <c r="P73" s="568"/>
      <c r="Q73" s="504"/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1910.61</v>
      </c>
      <c r="L74" s="29"/>
      <c r="M74" s="632"/>
      <c r="N74" s="630"/>
      <c r="O74" s="568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620"/>
      <c r="N75" s="633"/>
      <c r="O75" s="582"/>
      <c r="P75" s="568"/>
      <c r="Q75" s="504"/>
    </row>
    <row r="76" spans="2:17" s="17" customFormat="1">
      <c r="B76" s="609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609" t="s">
        <v>3</v>
      </c>
      <c r="K76" s="609" t="s">
        <v>1</v>
      </c>
      <c r="L76" s="29"/>
      <c r="M76" s="634"/>
      <c r="N76" s="620"/>
      <c r="O76" s="582"/>
      <c r="P76" s="568"/>
      <c r="Q76" s="504"/>
    </row>
    <row r="77" spans="2:17" s="17" customFormat="1">
      <c r="B77" s="609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709">
        <v>4.1999999999999997E-3</v>
      </c>
      <c r="K77" s="246">
        <f>K42*J77</f>
        <v>7.4958155999999985</v>
      </c>
      <c r="L77" s="29"/>
      <c r="M77" s="503"/>
      <c r="N77" s="504"/>
      <c r="O77" s="504"/>
      <c r="P77" s="504"/>
      <c r="Q77" s="504"/>
    </row>
    <row r="78" spans="2:17" s="17" customFormat="1">
      <c r="B78" s="609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3.3599999999999998E-4</v>
      </c>
      <c r="K78" s="242">
        <f>J78*K42</f>
        <v>0.59966524799999987</v>
      </c>
      <c r="L78" s="29"/>
      <c r="M78" s="503"/>
      <c r="N78" s="504"/>
      <c r="O78" s="671"/>
      <c r="P78" s="504"/>
      <c r="Q78" s="504"/>
    </row>
    <row r="79" spans="2:17" s="17" customFormat="1">
      <c r="B79" s="609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2.18E-2</v>
      </c>
      <c r="K79" s="242">
        <f>J79*K41</f>
        <v>38.906852399999998</v>
      </c>
      <c r="L79" s="29"/>
      <c r="M79" s="503"/>
      <c r="N79" s="504"/>
      <c r="O79" s="504"/>
      <c r="P79" s="504"/>
      <c r="Q79" s="504"/>
    </row>
    <row r="80" spans="2:17" s="17" customFormat="1">
      <c r="B80" s="609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J80*K41</f>
        <v>34.702849999999998</v>
      </c>
      <c r="L80" s="29"/>
      <c r="M80" s="503"/>
      <c r="N80" s="504"/>
      <c r="O80" s="671"/>
      <c r="P80" s="504"/>
      <c r="Q80" s="504"/>
    </row>
    <row r="81" spans="2:17" s="17" customFormat="1">
      <c r="B81" s="609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7.1555555555555565E-3</v>
      </c>
      <c r="K81" s="242">
        <f>J81*K41</f>
        <v>12.7706488</v>
      </c>
      <c r="L81" s="29"/>
      <c r="M81" s="503"/>
      <c r="N81" s="504"/>
      <c r="O81" s="504"/>
      <c r="P81" s="504"/>
      <c r="Q81" s="504"/>
    </row>
    <row r="82" spans="2:17" s="17" customFormat="1">
      <c r="B82" s="609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2.18E-2</v>
      </c>
      <c r="K82" s="242">
        <f>J82*K41</f>
        <v>38.906852399999998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7.4735999999999997E-2</v>
      </c>
      <c r="K83" s="260">
        <f>TRUNC(SUM(K77:K82),2)</f>
        <v>133.38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609" t="s">
        <v>3</v>
      </c>
      <c r="K86" s="609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609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v>9.0899999999999995E-2</v>
      </c>
      <c r="K87" s="242">
        <f>$K$41*J87</f>
        <v>162.23086619999998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6">
        <f t="shared" ref="K88:K92" si="5">$K$41*J88</f>
        <v>8.0312309999999982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4.0000000000000002E-4</v>
      </c>
      <c r="K89" s="246">
        <f t="shared" si="5"/>
        <v>0.71388719999999994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2.7000000000000001E-3</v>
      </c>
      <c r="K90" s="246">
        <f t="shared" si="5"/>
        <v>4.8187385999999996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0</v>
      </c>
      <c r="K91" s="246">
        <f t="shared" si="5"/>
        <v>0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6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9.849999999999999E-2</v>
      </c>
      <c r="K93" s="260">
        <f>SUM(K87:K92)</f>
        <v>175.79472299999995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608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609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v>0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0</v>
      </c>
      <c r="L97" s="29"/>
      <c r="M97" s="503"/>
      <c r="N97" s="504"/>
      <c r="O97" s="504"/>
      <c r="P97" s="504"/>
      <c r="Q97" s="504"/>
    </row>
    <row r="98" spans="2:17" s="17" customFormat="1">
      <c r="B98" s="605"/>
      <c r="C98" s="606"/>
      <c r="D98" s="606"/>
      <c r="E98" s="606"/>
      <c r="F98" s="606"/>
      <c r="G98" s="606"/>
      <c r="H98" s="606"/>
      <c r="I98" s="606"/>
      <c r="J98" s="606"/>
      <c r="K98" s="607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608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609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175.79472299999995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0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175.79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0.75333600000000001</v>
      </c>
      <c r="K104" s="520">
        <f>K93+K83+K60+K49</f>
        <v>1483.7834108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608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608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609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8.3636363636363633</v>
      </c>
      <c r="L108" s="29"/>
      <c r="M108" s="503"/>
      <c r="N108" s="504"/>
      <c r="O108" s="504"/>
      <c r="P108" s="504"/>
      <c r="Q108" s="504"/>
    </row>
    <row r="109" spans="2:17" s="17" customFormat="1">
      <c r="B109" s="609" t="s">
        <v>8</v>
      </c>
      <c r="C109" s="1038" t="s">
        <v>426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Q26+Q72</f>
        <v>26.95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428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Q33</f>
        <v>9.86</v>
      </c>
      <c r="L110" s="29"/>
      <c r="M110" s="503"/>
      <c r="N110" s="504"/>
      <c r="O110" s="504"/>
      <c r="P110" s="504"/>
      <c r="Q110" s="504"/>
    </row>
    <row r="111" spans="2:17" s="17" customFormat="1">
      <c r="B111" s="250" t="s">
        <v>10</v>
      </c>
      <c r="C111" s="1100"/>
      <c r="D111" s="1100"/>
      <c r="E111" s="1100"/>
      <c r="F111" s="1100"/>
      <c r="G111" s="1100"/>
      <c r="H111" s="1100"/>
      <c r="I111" s="1100"/>
      <c r="J111" s="238"/>
      <c r="K111" s="673"/>
      <c r="L111" s="29"/>
      <c r="M111" s="503"/>
      <c r="N111" s="504"/>
      <c r="O111" s="504"/>
      <c r="P111" s="504"/>
      <c r="Q111" s="504"/>
    </row>
    <row r="112" spans="2:17" s="17" customFormat="1">
      <c r="B112" s="1083" t="s">
        <v>70</v>
      </c>
      <c r="C112" s="1083"/>
      <c r="D112" s="1083"/>
      <c r="E112" s="1083"/>
      <c r="F112" s="1083"/>
      <c r="G112" s="1083"/>
      <c r="H112" s="1083"/>
      <c r="I112" s="1083"/>
      <c r="J112" s="419" t="s">
        <v>0</v>
      </c>
      <c r="K112" s="415">
        <f>TRUNC(SUM(K108:K111),2)</f>
        <v>45.17</v>
      </c>
      <c r="L112" s="29"/>
      <c r="M112" s="503"/>
      <c r="N112" s="504"/>
      <c r="O112" s="504"/>
      <c r="P112" s="504"/>
      <c r="Q112" s="504"/>
    </row>
    <row r="113" spans="2:18" s="17" customFormat="1">
      <c r="B113" s="1084" t="s">
        <v>71</v>
      </c>
      <c r="C113" s="1084"/>
      <c r="D113" s="1084"/>
      <c r="E113" s="1084"/>
      <c r="F113" s="1084"/>
      <c r="G113" s="1084"/>
      <c r="H113" s="1084"/>
      <c r="I113" s="1084"/>
      <c r="J113" s="1084"/>
      <c r="K113" s="1084"/>
      <c r="L113" s="29"/>
      <c r="M113" s="503"/>
      <c r="N113" s="504"/>
      <c r="O113" s="504"/>
      <c r="P113" s="504"/>
      <c r="Q113" s="504"/>
    </row>
    <row r="114" spans="2:18" s="17" customFormat="1">
      <c r="B114" s="609">
        <v>6</v>
      </c>
      <c r="C114" s="1085" t="s">
        <v>18</v>
      </c>
      <c r="D114" s="1085"/>
      <c r="E114" s="1085"/>
      <c r="F114" s="1085"/>
      <c r="G114" s="1085"/>
      <c r="H114" s="1085"/>
      <c r="I114" s="1085"/>
      <c r="J114" s="609" t="s">
        <v>3</v>
      </c>
      <c r="K114" s="609" t="s">
        <v>1</v>
      </c>
      <c r="L114" s="29"/>
      <c r="M114" s="503"/>
      <c r="N114" s="504"/>
      <c r="O114" s="504"/>
      <c r="P114" s="504"/>
      <c r="Q114" s="504"/>
    </row>
    <row r="115" spans="2:18" s="17" customFormat="1">
      <c r="B115" s="609" t="s">
        <v>7</v>
      </c>
      <c r="C115" s="1044" t="s">
        <v>21</v>
      </c>
      <c r="D115" s="1044"/>
      <c r="E115" s="1044"/>
      <c r="F115" s="1044"/>
      <c r="G115" s="1044"/>
      <c r="H115" s="1044"/>
      <c r="I115" s="1044"/>
      <c r="J115" s="411">
        <v>1.6E-2</v>
      </c>
      <c r="K115" s="355">
        <f>TRUNC(J115*K140,2)</f>
        <v>64.790000000000006</v>
      </c>
      <c r="L115" s="27"/>
      <c r="M115" s="503"/>
      <c r="N115" s="504"/>
      <c r="O115" s="504"/>
      <c r="P115" s="504"/>
      <c r="Q115" s="504"/>
    </row>
    <row r="116" spans="2:18" s="17" customFormat="1">
      <c r="B116" s="243" t="s">
        <v>8</v>
      </c>
      <c r="C116" s="1044" t="s">
        <v>4</v>
      </c>
      <c r="D116" s="1044"/>
      <c r="E116" s="1044"/>
      <c r="F116" s="1044"/>
      <c r="G116" s="1044"/>
      <c r="H116" s="1044"/>
      <c r="I116" s="1044"/>
      <c r="J116" s="411">
        <v>1.7500000000000002E-2</v>
      </c>
      <c r="K116" s="355">
        <f>TRUNC(J116*(K115+K140),2)</f>
        <v>72</v>
      </c>
      <c r="L116" s="27"/>
      <c r="M116" s="503"/>
      <c r="N116" s="504"/>
      <c r="O116" s="504"/>
      <c r="P116" s="504"/>
      <c r="Q116" s="504"/>
    </row>
    <row r="117" spans="2:18" s="17" customFormat="1">
      <c r="B117" s="604" t="s">
        <v>9</v>
      </c>
      <c r="C117" s="1086" t="s">
        <v>28</v>
      </c>
      <c r="D117" s="1087"/>
      <c r="E117" s="1087"/>
      <c r="F117" s="1087"/>
      <c r="G117" s="1087"/>
      <c r="H117" s="1087"/>
      <c r="I117" s="1087"/>
      <c r="J117" s="1088"/>
      <c r="K117" s="1089"/>
      <c r="L117" s="27"/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82</v>
      </c>
      <c r="D118" s="1044"/>
      <c r="E118" s="1044"/>
      <c r="F118" s="1044"/>
      <c r="G118" s="1044"/>
      <c r="H118" s="1044"/>
      <c r="I118" s="1044"/>
      <c r="J118" s="245">
        <v>6.4999999999999997E-3</v>
      </c>
      <c r="K118" s="426">
        <f>TRUNC(J118*K129,2)</f>
        <v>29.78</v>
      </c>
      <c r="L118" s="25"/>
      <c r="M118" s="503"/>
      <c r="N118" s="504"/>
      <c r="O118" s="504"/>
      <c r="P118" s="504"/>
      <c r="Q118" s="504"/>
      <c r="R118" s="128"/>
    </row>
    <row r="119" spans="2:18" s="17" customFormat="1">
      <c r="B119" s="243" t="s">
        <v>29</v>
      </c>
      <c r="C119" s="1044" t="s">
        <v>77</v>
      </c>
      <c r="D119" s="1044"/>
      <c r="E119" s="1044"/>
      <c r="F119" s="1044"/>
      <c r="G119" s="1044"/>
      <c r="H119" s="1044"/>
      <c r="I119" s="1044"/>
      <c r="J119" s="245">
        <v>0.03</v>
      </c>
      <c r="K119" s="426">
        <f>TRUNC(J119*K129,2)</f>
        <v>137.47999999999999</v>
      </c>
      <c r="L119" s="25"/>
      <c r="M119" s="503"/>
      <c r="N119" s="504"/>
      <c r="O119" s="504"/>
      <c r="P119" s="504"/>
      <c r="Q119" s="504"/>
    </row>
    <row r="120" spans="2:18" s="17" customFormat="1">
      <c r="B120" s="243" t="s">
        <v>30</v>
      </c>
      <c r="C120" s="1044" t="s">
        <v>80</v>
      </c>
      <c r="D120" s="1044"/>
      <c r="E120" s="1044"/>
      <c r="F120" s="1044"/>
      <c r="G120" s="1044"/>
      <c r="H120" s="1044"/>
      <c r="I120" s="1044"/>
      <c r="J120" s="247" t="s">
        <v>79</v>
      </c>
      <c r="K120" s="426">
        <v>0</v>
      </c>
      <c r="L120" s="25"/>
      <c r="M120" s="503"/>
      <c r="N120" s="504"/>
      <c r="O120" s="504"/>
      <c r="P120" s="504"/>
      <c r="Q120" s="504"/>
    </row>
    <row r="121" spans="2:18" s="17" customFormat="1">
      <c r="B121" s="243" t="s">
        <v>31</v>
      </c>
      <c r="C121" s="1044" t="s">
        <v>78</v>
      </c>
      <c r="D121" s="1044"/>
      <c r="E121" s="1044"/>
      <c r="F121" s="1044"/>
      <c r="G121" s="1044"/>
      <c r="H121" s="1044"/>
      <c r="I121" s="1044"/>
      <c r="J121" s="245">
        <v>0.05</v>
      </c>
      <c r="K121" s="426">
        <f>TRUNC(J121*K129,2)</f>
        <v>229.14</v>
      </c>
      <c r="L121" s="25"/>
      <c r="M121" s="503"/>
      <c r="N121" s="504"/>
      <c r="O121" s="504"/>
      <c r="P121" s="504"/>
      <c r="Q121" s="504"/>
    </row>
    <row r="122" spans="2:18" s="17" customFormat="1">
      <c r="B122" s="1080" t="s">
        <v>72</v>
      </c>
      <c r="C122" s="1080"/>
      <c r="D122" s="1080"/>
      <c r="E122" s="1080"/>
      <c r="F122" s="1080"/>
      <c r="G122" s="1080"/>
      <c r="H122" s="1080"/>
      <c r="I122" s="1080"/>
      <c r="J122" s="420">
        <f>SUM(J115:J121)</f>
        <v>0.12000000000000001</v>
      </c>
      <c r="K122" s="523">
        <f>TRUNC(SUM(K115:K121),2)</f>
        <v>533.19000000000005</v>
      </c>
      <c r="L122" s="25"/>
      <c r="M122" s="503"/>
      <c r="N122" s="504"/>
      <c r="O122" s="504"/>
      <c r="P122" s="504"/>
      <c r="Q122" s="504"/>
    </row>
    <row r="123" spans="2:18" s="17" customFormat="1">
      <c r="B123" s="291"/>
      <c r="C123" s="606"/>
      <c r="D123" s="1081"/>
      <c r="E123" s="1081"/>
      <c r="F123" s="1081"/>
      <c r="G123" s="1081"/>
      <c r="H123" s="1081"/>
      <c r="I123" s="1081"/>
      <c r="J123" s="1081"/>
      <c r="K123" s="1082"/>
      <c r="M123" s="503"/>
      <c r="N123" s="504"/>
      <c r="O123" s="504"/>
      <c r="P123" s="504"/>
      <c r="Q123" s="504"/>
    </row>
    <row r="124" spans="2:18" s="17" customFormat="1">
      <c r="B124" s="300" t="s">
        <v>32</v>
      </c>
      <c r="C124" s="301"/>
      <c r="D124" s="1071" t="s">
        <v>33</v>
      </c>
      <c r="E124" s="1071"/>
      <c r="F124" s="1071"/>
      <c r="G124" s="1071"/>
      <c r="H124" s="1071"/>
      <c r="I124" s="1072"/>
      <c r="J124" s="1073">
        <f>TRUNC(J118+J119+J121,4)</f>
        <v>8.6499999999999994E-2</v>
      </c>
      <c r="K124" s="1074"/>
      <c r="M124" s="503"/>
      <c r="N124" s="504"/>
      <c r="O124" s="504"/>
      <c r="P124" s="504"/>
      <c r="Q124" s="504"/>
    </row>
    <row r="125" spans="2:18" s="17" customFormat="1">
      <c r="B125" s="233"/>
      <c r="C125" s="302"/>
      <c r="D125" s="1077">
        <v>100</v>
      </c>
      <c r="E125" s="1078"/>
      <c r="F125" s="1078"/>
      <c r="G125" s="1078"/>
      <c r="H125" s="1078"/>
      <c r="I125" s="1079"/>
      <c r="J125" s="1075"/>
      <c r="K125" s="1076"/>
      <c r="M125" s="503"/>
      <c r="N125" s="504"/>
      <c r="O125" s="504"/>
      <c r="P125" s="504"/>
      <c r="Q125" s="504"/>
      <c r="R125" s="127"/>
    </row>
    <row r="126" spans="2:18" s="17" customFormat="1">
      <c r="B126" s="311"/>
      <c r="C126" s="310"/>
      <c r="D126" s="598"/>
      <c r="E126" s="598"/>
      <c r="F126" s="598"/>
      <c r="G126" s="598"/>
      <c r="H126" s="598"/>
      <c r="I126" s="599"/>
      <c r="J126" s="600"/>
      <c r="K126" s="413"/>
      <c r="M126" s="503"/>
      <c r="N126" s="504"/>
      <c r="O126" s="504"/>
      <c r="P126" s="504"/>
      <c r="Q126" s="504"/>
    </row>
    <row r="127" spans="2:18" s="17" customFormat="1">
      <c r="B127" s="233" t="s">
        <v>34</v>
      </c>
      <c r="C127" s="302"/>
      <c r="D127" s="1078" t="s">
        <v>73</v>
      </c>
      <c r="E127" s="1078"/>
      <c r="F127" s="1078"/>
      <c r="G127" s="1078"/>
      <c r="H127" s="1078"/>
      <c r="I127" s="1079"/>
      <c r="J127" s="601"/>
      <c r="K127" s="429">
        <f>TRUNC(K140+K115+K116,2)</f>
        <v>4186.46</v>
      </c>
      <c r="M127" s="503"/>
      <c r="N127" s="504"/>
      <c r="O127" s="504"/>
      <c r="P127" s="504"/>
      <c r="Q127" s="504"/>
    </row>
    <row r="128" spans="2:18" s="17" customFormat="1">
      <c r="B128" s="300"/>
      <c r="C128" s="301"/>
      <c r="D128" s="598"/>
      <c r="E128" s="598"/>
      <c r="F128" s="598"/>
      <c r="G128" s="598"/>
      <c r="H128" s="598"/>
      <c r="I128" s="599"/>
      <c r="J128" s="600"/>
      <c r="K128" s="414"/>
      <c r="M128" s="503"/>
      <c r="N128" s="504"/>
      <c r="O128" s="504"/>
      <c r="P128" s="504"/>
      <c r="Q128" s="504"/>
    </row>
    <row r="129" spans="2:17" s="17" customFormat="1">
      <c r="B129" s="233" t="s">
        <v>35</v>
      </c>
      <c r="C129" s="302"/>
      <c r="D129" s="1078" t="s">
        <v>36</v>
      </c>
      <c r="E129" s="1078"/>
      <c r="F129" s="1078"/>
      <c r="G129" s="1078"/>
      <c r="H129" s="1078"/>
      <c r="I129" s="1079"/>
      <c r="J129" s="601"/>
      <c r="K129" s="429">
        <f>K127/(1-J124)</f>
        <v>4582.8790366721405</v>
      </c>
      <c r="M129" s="503"/>
      <c r="N129" s="504"/>
      <c r="O129" s="504"/>
      <c r="P129" s="504"/>
      <c r="Q129" s="504"/>
    </row>
    <row r="130" spans="2:17" s="17" customFormat="1">
      <c r="B130" s="610"/>
      <c r="C130" s="301"/>
      <c r="D130" s="598"/>
      <c r="E130" s="598"/>
      <c r="F130" s="598"/>
      <c r="G130" s="598"/>
      <c r="H130" s="598"/>
      <c r="I130" s="599"/>
      <c r="J130" s="600"/>
      <c r="K130" s="414"/>
      <c r="M130" s="503"/>
      <c r="N130" s="504"/>
      <c r="O130" s="504"/>
      <c r="P130" s="504"/>
      <c r="Q130" s="504"/>
    </row>
    <row r="131" spans="2:17" s="17" customFormat="1">
      <c r="B131" s="291"/>
      <c r="C131" s="302"/>
      <c r="D131" s="1078" t="s">
        <v>37</v>
      </c>
      <c r="E131" s="1078"/>
      <c r="F131" s="1078"/>
      <c r="G131" s="1078"/>
      <c r="H131" s="1078"/>
      <c r="I131" s="1079"/>
      <c r="J131" s="601"/>
      <c r="K131" s="429">
        <f>TRUNC(K129-K127,2)</f>
        <v>396.41</v>
      </c>
      <c r="M131" s="503"/>
      <c r="N131" s="504"/>
      <c r="O131" s="504"/>
      <c r="P131" s="504"/>
      <c r="Q131" s="504"/>
    </row>
    <row r="132" spans="2:17" s="17" customFormat="1">
      <c r="B132" s="291"/>
      <c r="C132" s="606"/>
      <c r="D132" s="606"/>
      <c r="E132" s="606"/>
      <c r="F132" s="606"/>
      <c r="G132" s="606"/>
      <c r="H132" s="606"/>
      <c r="I132" s="606"/>
      <c r="J132" s="606"/>
      <c r="K132" s="295"/>
      <c r="M132" s="503"/>
      <c r="N132" s="504"/>
      <c r="O132" s="504"/>
      <c r="P132" s="504"/>
      <c r="Q132" s="504"/>
    </row>
    <row r="133" spans="2:17" s="17" customFormat="1">
      <c r="B133" s="1064" t="s">
        <v>83</v>
      </c>
      <c r="C133" s="1064"/>
      <c r="D133" s="1064"/>
      <c r="E133" s="1064"/>
      <c r="F133" s="1064"/>
      <c r="G133" s="1064"/>
      <c r="H133" s="1064"/>
      <c r="I133" s="1064"/>
      <c r="J133" s="1064"/>
      <c r="K133" s="1064"/>
      <c r="M133" s="503"/>
      <c r="N133" s="504"/>
      <c r="O133" s="504"/>
      <c r="P133" s="504"/>
      <c r="Q133" s="504"/>
    </row>
    <row r="134" spans="2:17" s="17" customFormat="1">
      <c r="B134" s="1065" t="s">
        <v>22</v>
      </c>
      <c r="C134" s="1065"/>
      <c r="D134" s="1065"/>
      <c r="E134" s="1065"/>
      <c r="F134" s="1065"/>
      <c r="G134" s="1065"/>
      <c r="H134" s="1065"/>
      <c r="I134" s="1065"/>
      <c r="J134" s="1065"/>
      <c r="K134" s="604" t="s">
        <v>1</v>
      </c>
      <c r="M134" s="503"/>
      <c r="N134" s="504"/>
      <c r="O134" s="504"/>
      <c r="P134" s="504"/>
      <c r="Q134" s="504"/>
    </row>
    <row r="135" spans="2:17" s="17" customFormat="1">
      <c r="B135" s="238" t="s">
        <v>7</v>
      </c>
      <c r="C135" s="1044" t="str">
        <f>B31</f>
        <v>MÓDULO 1 - COMPOSIÇÃO DA REMUNERAÇÃO</v>
      </c>
      <c r="D135" s="1044"/>
      <c r="E135" s="1044"/>
      <c r="F135" s="1044"/>
      <c r="G135" s="1044"/>
      <c r="H135" s="1044"/>
      <c r="I135" s="1044"/>
      <c r="J135" s="1044"/>
      <c r="K135" s="355">
        <f>K42</f>
        <v>1784.7179999999998</v>
      </c>
      <c r="M135" s="595"/>
      <c r="N135" s="504"/>
      <c r="O135" s="504"/>
      <c r="P135" s="504"/>
      <c r="Q135" s="504"/>
    </row>
    <row r="136" spans="2:17" s="17" customFormat="1">
      <c r="B136" s="240" t="s">
        <v>8</v>
      </c>
      <c r="C136" s="1044" t="str">
        <f>B45</f>
        <v>MÓDULO 2 – ENCARGOS E BENEFÍCIOS ANUAIS, MENSAIS E DIÁRIOS</v>
      </c>
      <c r="D136" s="1044"/>
      <c r="E136" s="1044"/>
      <c r="F136" s="1044"/>
      <c r="G136" s="1044"/>
      <c r="H136" s="1044"/>
      <c r="I136" s="1044"/>
      <c r="J136" s="1044"/>
      <c r="K136" s="426">
        <f>K74</f>
        <v>1910.61</v>
      </c>
      <c r="M136" s="595"/>
      <c r="N136" s="504"/>
      <c r="O136" s="504"/>
      <c r="P136" s="504"/>
      <c r="Q136" s="504"/>
    </row>
    <row r="137" spans="2:17" s="17" customFormat="1">
      <c r="B137" s="240" t="s">
        <v>9</v>
      </c>
      <c r="C137" s="1044" t="str">
        <f>B75</f>
        <v>MÓDULO 3 – PROVISÃO PARA RESCISÃO</v>
      </c>
      <c r="D137" s="1044"/>
      <c r="E137" s="1044"/>
      <c r="F137" s="1044"/>
      <c r="G137" s="1044"/>
      <c r="H137" s="1044"/>
      <c r="I137" s="1044"/>
      <c r="J137" s="1044"/>
      <c r="K137" s="426">
        <f>K83</f>
        <v>133.38</v>
      </c>
      <c r="M137" s="595"/>
      <c r="N137" s="504"/>
      <c r="O137" s="504"/>
      <c r="P137" s="504"/>
      <c r="Q137" s="504"/>
    </row>
    <row r="138" spans="2:17" s="17" customFormat="1">
      <c r="B138" s="238" t="s">
        <v>10</v>
      </c>
      <c r="C138" s="1044" t="str">
        <f>B85</f>
        <v>MÓDULO 4 – CUSTO DE REPOSIÇÃO DO PROFISSIONAL AUSENTE</v>
      </c>
      <c r="D138" s="1044"/>
      <c r="E138" s="1044"/>
      <c r="F138" s="1044"/>
      <c r="G138" s="1044"/>
      <c r="H138" s="1044"/>
      <c r="I138" s="1044"/>
      <c r="J138" s="1044"/>
      <c r="K138" s="426">
        <f>K103</f>
        <v>175.79</v>
      </c>
      <c r="M138" s="595"/>
      <c r="N138" s="504"/>
      <c r="O138" s="504"/>
      <c r="P138" s="504"/>
      <c r="Q138" s="504"/>
    </row>
    <row r="139" spans="2:17" s="17" customFormat="1" ht="15.75" thickBot="1">
      <c r="B139" s="424" t="s">
        <v>11</v>
      </c>
      <c r="C139" s="1061" t="str">
        <f>B106</f>
        <v>MÓDULO 5 – INSUMOS DIVERSOS</v>
      </c>
      <c r="D139" s="1061"/>
      <c r="E139" s="1061"/>
      <c r="F139" s="1061"/>
      <c r="G139" s="1061"/>
      <c r="H139" s="1061"/>
      <c r="I139" s="1061"/>
      <c r="J139" s="1061"/>
      <c r="K139" s="427">
        <f>K112</f>
        <v>45.17</v>
      </c>
      <c r="M139" s="595"/>
      <c r="N139" s="504"/>
      <c r="O139" s="504"/>
      <c r="P139" s="504"/>
      <c r="Q139" s="504"/>
    </row>
    <row r="140" spans="2:17" s="17" customFormat="1">
      <c r="B140" s="1062" t="s">
        <v>74</v>
      </c>
      <c r="C140" s="1063"/>
      <c r="D140" s="1063"/>
      <c r="E140" s="1063"/>
      <c r="F140" s="1063"/>
      <c r="G140" s="1063"/>
      <c r="H140" s="1063"/>
      <c r="I140" s="1063"/>
      <c r="J140" s="1063"/>
      <c r="K140" s="430">
        <f>TRUNC(SUM(K135:K139),2)+0.01</f>
        <v>4049.67</v>
      </c>
      <c r="M140" s="595"/>
      <c r="N140" s="504"/>
      <c r="O140" s="504"/>
      <c r="P140" s="504"/>
      <c r="Q140" s="504"/>
    </row>
    <row r="141" spans="2:17" s="17" customFormat="1">
      <c r="B141" s="425" t="s">
        <v>13</v>
      </c>
      <c r="C141" s="1061" t="str">
        <f>B113</f>
        <v>MÓDULO 6 – CUSTOS INDIRETOS, TRIBUTOS E LUCRO</v>
      </c>
      <c r="D141" s="1061"/>
      <c r="E141" s="1061"/>
      <c r="F141" s="1061"/>
      <c r="G141" s="1061"/>
      <c r="H141" s="1061"/>
      <c r="I141" s="1061"/>
      <c r="J141" s="1061"/>
      <c r="K141" s="428">
        <f>K122</f>
        <v>533.19000000000005</v>
      </c>
      <c r="M141" s="595"/>
      <c r="N141" s="504"/>
      <c r="O141" s="504"/>
      <c r="P141" s="504"/>
      <c r="Q141" s="504"/>
    </row>
    <row r="142" spans="2:17" s="17" customFormat="1">
      <c r="B142" s="1064" t="s">
        <v>75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f>(K140+K116+K115)/(1-J124)-0.01</f>
        <v>4582.8690366721403</v>
      </c>
      <c r="L142" s="25"/>
      <c r="M142" s="595"/>
      <c r="N142" s="504"/>
      <c r="O142" s="504"/>
      <c r="P142" s="504"/>
      <c r="Q142" s="504"/>
    </row>
    <row r="143" spans="2:17" s="17" customFormat="1">
      <c r="B143" s="1064" t="s">
        <v>100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v>1</v>
      </c>
      <c r="L143" s="132"/>
      <c r="M143" s="503"/>
      <c r="N143" s="504"/>
      <c r="O143" s="504"/>
      <c r="P143" s="504"/>
      <c r="Q143" s="504"/>
    </row>
    <row r="144" spans="2:17" s="17" customFormat="1">
      <c r="B144" s="1064" t="s">
        <v>143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f>K142*K143</f>
        <v>4582.8690366721403</v>
      </c>
      <c r="L144" s="25"/>
      <c r="M144" s="595"/>
      <c r="N144" s="504"/>
      <c r="O144" s="504"/>
      <c r="P144" s="504"/>
      <c r="Q144" s="504"/>
    </row>
    <row r="145" spans="2:17" s="17" customFormat="1">
      <c r="B145" s="1064" t="s">
        <v>122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v>1</v>
      </c>
      <c r="L145" s="16"/>
      <c r="M145" s="503"/>
      <c r="N145" s="504"/>
      <c r="O145" s="504"/>
      <c r="P145" s="504"/>
      <c r="Q145" s="504"/>
    </row>
    <row r="146" spans="2:17" s="17" customFormat="1">
      <c r="B146" s="1064" t="s">
        <v>144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K144*K145-0.01</f>
        <v>4582.8590366721401</v>
      </c>
      <c r="M146" s="595"/>
      <c r="N146" s="504"/>
      <c r="O146" s="504"/>
      <c r="P146" s="504"/>
      <c r="Q146" s="504"/>
    </row>
    <row r="147" spans="2:17" s="17" customFormat="1">
      <c r="B147" s="1064" t="s">
        <v>145</v>
      </c>
      <c r="C147" s="1064"/>
      <c r="D147" s="1064"/>
      <c r="E147" s="1064"/>
      <c r="F147" s="1064"/>
      <c r="G147" s="1064"/>
      <c r="H147" s="1064"/>
      <c r="I147" s="1064"/>
      <c r="J147" s="1064"/>
      <c r="K147" s="347">
        <f>K146*12+0.01</f>
        <v>54994.318440065683</v>
      </c>
      <c r="M147" s="503"/>
      <c r="N147" s="504"/>
      <c r="O147" s="504"/>
      <c r="P147" s="504"/>
      <c r="Q147" s="504"/>
    </row>
    <row r="148" spans="2:17" s="29" customFormat="1">
      <c r="B148" s="234"/>
      <c r="C148" s="421"/>
      <c r="D148" s="421"/>
      <c r="E148" s="421"/>
      <c r="F148" s="421"/>
      <c r="G148" s="421"/>
      <c r="H148" s="421"/>
      <c r="I148" s="421"/>
      <c r="J148" s="421"/>
      <c r="K148" s="421"/>
      <c r="M148" s="595"/>
      <c r="N148" s="504"/>
      <c r="O148" s="504"/>
      <c r="P148" s="504"/>
      <c r="Q148" s="504"/>
    </row>
    <row r="149" spans="2:17" s="29" customFormat="1" ht="15" customHeight="1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s="29" customFormat="1" ht="15.75">
      <c r="B150" s="422"/>
      <c r="C150" s="422"/>
      <c r="D150" s="422"/>
      <c r="E150" s="422"/>
      <c r="F150" s="422"/>
      <c r="G150" s="422"/>
      <c r="H150" s="533"/>
      <c r="I150" s="533"/>
      <c r="J150" s="533"/>
      <c r="K150" s="533"/>
      <c r="M150" s="503"/>
      <c r="N150" s="504"/>
      <c r="O150" s="504"/>
      <c r="P150" s="504"/>
      <c r="Q150" s="504"/>
    </row>
    <row r="151" spans="2:17" s="29" customFormat="1" ht="15.75">
      <c r="B151" s="236"/>
      <c r="C151" s="236"/>
      <c r="D151" s="236"/>
      <c r="E151" s="236"/>
      <c r="F151" s="236"/>
      <c r="G151" s="236"/>
      <c r="H151" s="533"/>
      <c r="I151" s="533"/>
      <c r="J151" s="533"/>
      <c r="K151" s="533"/>
      <c r="M151" s="503"/>
      <c r="N151" s="504"/>
      <c r="O151" s="504"/>
      <c r="P151" s="504"/>
      <c r="Q151" s="504"/>
    </row>
    <row r="152" spans="2:17" s="423" customFormat="1" ht="15.75">
      <c r="B152" s="236"/>
      <c r="C152" s="236"/>
      <c r="D152" s="236"/>
      <c r="E152" s="236"/>
      <c r="F152" s="236"/>
      <c r="G152" s="236"/>
      <c r="H152" s="1059"/>
      <c r="I152" s="1059"/>
      <c r="J152" s="1059"/>
      <c r="K152" s="1059"/>
      <c r="M152" s="503"/>
      <c r="N152" s="504"/>
      <c r="O152" s="504"/>
      <c r="P152" s="504"/>
      <c r="Q152" s="504"/>
    </row>
    <row r="153" spans="2:17" s="423" customFormat="1" ht="15.75">
      <c r="B153" s="236"/>
      <c r="C153" s="236"/>
      <c r="D153" s="236"/>
      <c r="E153" s="236"/>
      <c r="F153" s="236"/>
      <c r="G153" s="236"/>
      <c r="H153" s="1060"/>
      <c r="I153" s="1060"/>
      <c r="J153" s="1060"/>
      <c r="K153" s="1060"/>
      <c r="M153" s="503"/>
      <c r="N153" s="504"/>
      <c r="O153" s="504"/>
      <c r="P153" s="504"/>
      <c r="Q153" s="504"/>
    </row>
  </sheetData>
  <mergeCells count="166">
    <mergeCell ref="H152:K152"/>
    <mergeCell ref="H153:K153"/>
    <mergeCell ref="B142:J142"/>
    <mergeCell ref="B143:J143"/>
    <mergeCell ref="B144:J144"/>
    <mergeCell ref="B145:J145"/>
    <mergeCell ref="B146:J146"/>
    <mergeCell ref="B147:J147"/>
    <mergeCell ref="C136:J136"/>
    <mergeCell ref="C137:J137"/>
    <mergeCell ref="C138:J138"/>
    <mergeCell ref="C139:J139"/>
    <mergeCell ref="B140:J140"/>
    <mergeCell ref="C141:J141"/>
    <mergeCell ref="D127:I127"/>
    <mergeCell ref="D129:I129"/>
    <mergeCell ref="D131:I131"/>
    <mergeCell ref="B133:K133"/>
    <mergeCell ref="B134:J134"/>
    <mergeCell ref="C135:J135"/>
    <mergeCell ref="C120:I120"/>
    <mergeCell ref="C121:I121"/>
    <mergeCell ref="B122:I122"/>
    <mergeCell ref="D123:K123"/>
    <mergeCell ref="D124:I124"/>
    <mergeCell ref="J124:K125"/>
    <mergeCell ref="D125:I125"/>
    <mergeCell ref="C114:I114"/>
    <mergeCell ref="C115:I115"/>
    <mergeCell ref="C116:I116"/>
    <mergeCell ref="C117:K117"/>
    <mergeCell ref="C118:I118"/>
    <mergeCell ref="C119:I119"/>
    <mergeCell ref="C107:J107"/>
    <mergeCell ref="C108:I108"/>
    <mergeCell ref="C109:I109"/>
    <mergeCell ref="C111:I111"/>
    <mergeCell ref="B112:I112"/>
    <mergeCell ref="B113:K113"/>
    <mergeCell ref="C110:I110"/>
    <mergeCell ref="C101:J101"/>
    <mergeCell ref="C102:J102"/>
    <mergeCell ref="B103:J103"/>
    <mergeCell ref="B104:I104"/>
    <mergeCell ref="B105:K105"/>
    <mergeCell ref="B106:K106"/>
    <mergeCell ref="B94:K94"/>
    <mergeCell ref="B95:J95"/>
    <mergeCell ref="C96:J96"/>
    <mergeCell ref="B97:J97"/>
    <mergeCell ref="B99:K99"/>
    <mergeCell ref="B100:J100"/>
    <mergeCell ref="C88:I88"/>
    <mergeCell ref="C89:I89"/>
    <mergeCell ref="C90:I90"/>
    <mergeCell ref="C91:I91"/>
    <mergeCell ref="C92:I92"/>
    <mergeCell ref="B93:I93"/>
    <mergeCell ref="C82:I82"/>
    <mergeCell ref="B83:I83"/>
    <mergeCell ref="C84:K84"/>
    <mergeCell ref="B85:K85"/>
    <mergeCell ref="B86:I86"/>
    <mergeCell ref="C87:I87"/>
    <mergeCell ref="C76:I76"/>
    <mergeCell ref="C77:I77"/>
    <mergeCell ref="C78:I78"/>
    <mergeCell ref="C79:I79"/>
    <mergeCell ref="C80:I80"/>
    <mergeCell ref="C81:I81"/>
    <mergeCell ref="B70:J70"/>
    <mergeCell ref="C71:J71"/>
    <mergeCell ref="C72:J72"/>
    <mergeCell ref="C73:J73"/>
    <mergeCell ref="C74:J74"/>
    <mergeCell ref="B75:K75"/>
    <mergeCell ref="C64:J64"/>
    <mergeCell ref="C65:J65"/>
    <mergeCell ref="M66:N66"/>
    <mergeCell ref="B67:J67"/>
    <mergeCell ref="C68:K68"/>
    <mergeCell ref="B69:K69"/>
    <mergeCell ref="M59:N59"/>
    <mergeCell ref="B60:I60"/>
    <mergeCell ref="C61:K61"/>
    <mergeCell ref="M61:N61"/>
    <mergeCell ref="B62:J62"/>
    <mergeCell ref="C63:J63"/>
    <mergeCell ref="C54:I54"/>
    <mergeCell ref="C55:I55"/>
    <mergeCell ref="C56:I56"/>
    <mergeCell ref="C57:I57"/>
    <mergeCell ref="C58:I58"/>
    <mergeCell ref="C59:I59"/>
    <mergeCell ref="B50:K50"/>
    <mergeCell ref="M50:N50"/>
    <mergeCell ref="B51:I51"/>
    <mergeCell ref="C52:I52"/>
    <mergeCell ref="M52:N52"/>
    <mergeCell ref="C53:I53"/>
    <mergeCell ref="M44:N44"/>
    <mergeCell ref="B45:K45"/>
    <mergeCell ref="B46:I46"/>
    <mergeCell ref="C47:I47"/>
    <mergeCell ref="C48:I48"/>
    <mergeCell ref="B49:I49"/>
    <mergeCell ref="C39:I39"/>
    <mergeCell ref="C40:I40"/>
    <mergeCell ref="B41:J41"/>
    <mergeCell ref="B42:J42"/>
    <mergeCell ref="B43:J43"/>
    <mergeCell ref="N43:Q43"/>
    <mergeCell ref="C35:I35"/>
    <mergeCell ref="M35:Q35"/>
    <mergeCell ref="C36:I36"/>
    <mergeCell ref="C37:I37"/>
    <mergeCell ref="C38:I38"/>
    <mergeCell ref="M38:P38"/>
    <mergeCell ref="C29:J29"/>
    <mergeCell ref="C30:K30"/>
    <mergeCell ref="B31:K31"/>
    <mergeCell ref="C32:I32"/>
    <mergeCell ref="C33:I33"/>
    <mergeCell ref="M33:P33"/>
    <mergeCell ref="C28:J28"/>
    <mergeCell ref="M28:Q28"/>
    <mergeCell ref="B17:K17"/>
    <mergeCell ref="B19:G19"/>
    <mergeCell ref="I19:K19"/>
    <mergeCell ref="B20:G20"/>
    <mergeCell ref="I20:K20"/>
    <mergeCell ref="B22:K22"/>
    <mergeCell ref="C34:I34"/>
    <mergeCell ref="B10:K10"/>
    <mergeCell ref="B11:K11"/>
    <mergeCell ref="C12:G12"/>
    <mergeCell ref="H12:K12"/>
    <mergeCell ref="B24:K24"/>
    <mergeCell ref="C25:J25"/>
    <mergeCell ref="C26:J26"/>
    <mergeCell ref="M26:P26"/>
    <mergeCell ref="C27:J27"/>
    <mergeCell ref="M72:P72"/>
    <mergeCell ref="B4:K4"/>
    <mergeCell ref="M4:Q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  <mergeCell ref="C13:G13"/>
    <mergeCell ref="H13:K13"/>
    <mergeCell ref="M13:P13"/>
    <mergeCell ref="C14:G14"/>
    <mergeCell ref="H14:K14"/>
    <mergeCell ref="C15:G15"/>
    <mergeCell ref="H15:K15"/>
    <mergeCell ref="M15:Q15"/>
    <mergeCell ref="C8:G8"/>
    <mergeCell ref="H8:K8"/>
    <mergeCell ref="H9:K9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3" orientation="portrait" r:id="rId1"/>
  <rowBreaks count="1" manualBreakCount="1">
    <brk id="83" min="1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B1:R152"/>
  <sheetViews>
    <sheetView view="pageBreakPreview" topLeftCell="A114" zoomScale="70" zoomScaleNormal="55" zoomScaleSheetLayoutView="70" workbookViewId="0">
      <selection activeCell="J114" sqref="J114:J115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28.140625" style="236" customWidth="1"/>
    <col min="8" max="8" width="19.140625" style="236" customWidth="1"/>
    <col min="9" max="9" width="20.28515625" style="236" customWidth="1"/>
    <col min="10" max="10" width="11.140625" style="236" customWidth="1"/>
    <col min="11" max="11" width="17.5703125" style="236" customWidth="1"/>
    <col min="12" max="12" width="9" style="2" bestFit="1" customWidth="1"/>
    <col min="13" max="13" width="37.28515625" style="503" customWidth="1"/>
    <col min="14" max="14" width="13.85546875" style="504" customWidth="1"/>
    <col min="15" max="15" width="18" style="504" bestFit="1" customWidth="1"/>
    <col min="16" max="16" width="19.140625" style="504" customWidth="1"/>
    <col min="17" max="17" width="18.5703125" style="504" customWidth="1"/>
    <col min="18" max="18" width="9.5703125" style="2" bestFit="1" customWidth="1"/>
    <col min="19" max="16384" width="9.140625" style="2"/>
  </cols>
  <sheetData>
    <row r="1" spans="2:17" s="6" customFormat="1" ht="14.45" customHeight="1">
      <c r="B1" s="987" t="s">
        <v>308</v>
      </c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 t="str">
        <f>B1</f>
        <v>PREGÃO ELETRÔNICO Nº 02/2021 - PROCESSO: 10283-721.005/2021-37</v>
      </c>
      <c r="N1" s="988"/>
      <c r="O1" s="988"/>
      <c r="P1" s="988"/>
      <c r="Q1" s="988"/>
    </row>
    <row r="2" spans="2:17" s="6" customFormat="1" ht="12.75">
      <c r="B2" s="989" t="s">
        <v>139</v>
      </c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7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 t="s">
        <v>127</v>
      </c>
      <c r="K3" s="343" t="s">
        <v>309</v>
      </c>
      <c r="L3" s="5"/>
      <c r="M3" s="997"/>
      <c r="N3" s="997"/>
      <c r="O3" s="997"/>
      <c r="P3" s="997"/>
      <c r="Q3" s="997"/>
    </row>
    <row r="4" spans="2:17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7" s="6" customFormat="1" ht="12.75">
      <c r="B5" s="1014" t="s">
        <v>348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7" s="6" customFormat="1" ht="12.75">
      <c r="B6" s="552" t="s">
        <v>128</v>
      </c>
      <c r="C6" s="313" t="s">
        <v>129</v>
      </c>
      <c r="D6" s="314"/>
      <c r="E6" s="314"/>
      <c r="F6" s="314"/>
      <c r="G6" s="314"/>
      <c r="H6" s="1015" t="str">
        <f>K3</f>
        <v>14/04/2021 - 10:00H</v>
      </c>
      <c r="I6" s="1015"/>
      <c r="J6" s="1015"/>
      <c r="K6" s="1015"/>
      <c r="L6" s="5"/>
      <c r="M6" s="591" t="s">
        <v>118</v>
      </c>
      <c r="N6" s="322">
        <v>4</v>
      </c>
      <c r="O6" s="510">
        <v>60</v>
      </c>
      <c r="P6" s="322">
        <v>12</v>
      </c>
      <c r="Q6" s="592">
        <f>(N6*O6)/P6</f>
        <v>20</v>
      </c>
    </row>
    <row r="7" spans="2:17" s="6" customFormat="1" ht="12.75">
      <c r="B7" s="552" t="s">
        <v>8</v>
      </c>
      <c r="C7" s="1001" t="s">
        <v>130</v>
      </c>
      <c r="D7" s="1002"/>
      <c r="E7" s="1002"/>
      <c r="F7" s="1002"/>
      <c r="G7" s="1003"/>
      <c r="H7" s="1015" t="s">
        <v>349</v>
      </c>
      <c r="I7" s="1015"/>
      <c r="J7" s="1015"/>
      <c r="K7" s="1015"/>
      <c r="L7" s="5"/>
      <c r="M7" s="591" t="s">
        <v>334</v>
      </c>
      <c r="N7" s="322">
        <v>4</v>
      </c>
      <c r="O7" s="510">
        <v>60</v>
      </c>
      <c r="P7" s="322">
        <v>12</v>
      </c>
      <c r="Q7" s="592">
        <f>(N7*O7)/P7</f>
        <v>20</v>
      </c>
    </row>
    <row r="8" spans="2:17" s="6" customFormat="1" ht="12.75">
      <c r="B8" s="552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75</v>
      </c>
      <c r="P8" s="322">
        <v>12</v>
      </c>
      <c r="Q8" s="592">
        <f>O8/P8</f>
        <v>6.25</v>
      </c>
    </row>
    <row r="9" spans="2:17" s="6" customFormat="1" ht="12.75">
      <c r="B9" s="552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10</v>
      </c>
      <c r="O9" s="510">
        <v>8</v>
      </c>
      <c r="P9" s="322">
        <v>12</v>
      </c>
      <c r="Q9" s="592">
        <f>O9/P9</f>
        <v>0.66666666666666663</v>
      </c>
    </row>
    <row r="10" spans="2:17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20</v>
      </c>
      <c r="P10" s="322">
        <v>12</v>
      </c>
      <c r="Q10" s="592">
        <f t="shared" ref="Q10:Q11" si="0">(N10*O10)/P10</f>
        <v>3.3333333333333335</v>
      </c>
    </row>
    <row r="11" spans="2:17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119</v>
      </c>
      <c r="N11" s="322">
        <v>2</v>
      </c>
      <c r="O11" s="510">
        <v>25</v>
      </c>
      <c r="P11" s="322">
        <v>12</v>
      </c>
      <c r="Q11" s="592">
        <f t="shared" si="0"/>
        <v>4.166666666666667</v>
      </c>
    </row>
    <row r="12" spans="2:17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12 horas noturna 12x36 de segunda - feira a domingo</v>
      </c>
      <c r="I12" s="1010"/>
      <c r="J12" s="1010"/>
      <c r="K12" s="1010"/>
      <c r="L12" s="5"/>
      <c r="M12" s="591" t="s">
        <v>335</v>
      </c>
      <c r="N12" s="322">
        <v>2</v>
      </c>
      <c r="O12" s="510">
        <v>15</v>
      </c>
      <c r="P12" s="322">
        <v>12</v>
      </c>
      <c r="Q12" s="592">
        <f>(N12*O12)/P12</f>
        <v>2.5</v>
      </c>
    </row>
    <row r="13" spans="2:17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593">
        <f>Q6+Q7+Q8+Q9+Q10+Q11+Q12</f>
        <v>56.916666666666664</v>
      </c>
    </row>
    <row r="14" spans="2:17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7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43831</v>
      </c>
      <c r="I15" s="1024"/>
      <c r="J15" s="1024"/>
      <c r="K15" s="1024"/>
      <c r="L15" s="5"/>
      <c r="M15" s="986" t="s">
        <v>188</v>
      </c>
      <c r="N15" s="986"/>
      <c r="O15" s="986"/>
      <c r="P15" s="986"/>
      <c r="Q15" s="986"/>
    </row>
    <row r="16" spans="2:17" s="17" customFormat="1" ht="12.75">
      <c r="B16" s="291"/>
      <c r="C16" s="542"/>
      <c r="D16" s="539"/>
      <c r="E16" s="539"/>
      <c r="F16" s="539"/>
      <c r="G16" s="539"/>
      <c r="H16" s="539"/>
      <c r="I16" s="539"/>
      <c r="J16" s="539"/>
      <c r="K16" s="543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120</v>
      </c>
      <c r="N17" s="326">
        <v>1</v>
      </c>
      <c r="O17" s="515">
        <v>30</v>
      </c>
      <c r="P17" s="326">
        <v>12</v>
      </c>
      <c r="Q17" s="516">
        <f>(N17*O17)/P17</f>
        <v>2.5</v>
      </c>
    </row>
    <row r="18" spans="2:17" s="17" customFormat="1" ht="12.75">
      <c r="B18" s="291"/>
      <c r="C18" s="542"/>
      <c r="D18" s="539"/>
      <c r="E18" s="539"/>
      <c r="F18" s="539"/>
      <c r="G18" s="539"/>
      <c r="H18" s="539"/>
      <c r="I18" s="539"/>
      <c r="J18" s="542"/>
      <c r="K18" s="543"/>
      <c r="M18" s="327" t="s">
        <v>337</v>
      </c>
      <c r="N18" s="326">
        <v>1</v>
      </c>
      <c r="O18" s="515">
        <v>20</v>
      </c>
      <c r="P18" s="326">
        <v>12</v>
      </c>
      <c r="Q18" s="515">
        <f>N18*O18/P18</f>
        <v>1.6666666666666667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551" t="s">
        <v>26</v>
      </c>
      <c r="I19" s="1018" t="s">
        <v>347</v>
      </c>
      <c r="J19" s="1018"/>
      <c r="K19" s="1018"/>
      <c r="M19" s="328" t="s">
        <v>338</v>
      </c>
      <c r="N19" s="326">
        <v>2</v>
      </c>
      <c r="O19" s="515">
        <v>20</v>
      </c>
      <c r="P19" s="326">
        <v>12</v>
      </c>
      <c r="Q19" s="515">
        <f t="shared" ref="Q19" si="1">(N19*O19)/P19</f>
        <v>3.3333333333333335</v>
      </c>
    </row>
    <row r="20" spans="2:17" s="17" customFormat="1" ht="12.75">
      <c r="B20" s="1019" t="str">
        <f>H12</f>
        <v>Vigilância armada 12 horas noturna 12x36 de segunda - feira a domingo</v>
      </c>
      <c r="C20" s="1020"/>
      <c r="D20" s="1020"/>
      <c r="E20" s="1020"/>
      <c r="F20" s="1020"/>
      <c r="G20" s="1020"/>
      <c r="H20" s="317" t="s">
        <v>94</v>
      </c>
      <c r="I20" s="1021">
        <v>2</v>
      </c>
      <c r="J20" s="1021"/>
      <c r="K20" s="1021"/>
      <c r="M20" s="328" t="s">
        <v>339</v>
      </c>
      <c r="N20" s="322">
        <v>1</v>
      </c>
      <c r="O20" s="510">
        <v>80</v>
      </c>
      <c r="P20" s="322">
        <v>60</v>
      </c>
      <c r="Q20" s="510">
        <f>(N20*O20)/P20</f>
        <v>1.3333333333333333</v>
      </c>
    </row>
    <row r="21" spans="2:17" s="17" customFormat="1" ht="12.75">
      <c r="B21" s="291"/>
      <c r="C21" s="542"/>
      <c r="D21" s="539"/>
      <c r="E21" s="539"/>
      <c r="F21" s="539"/>
      <c r="G21" s="539"/>
      <c r="H21" s="539"/>
      <c r="I21" s="539"/>
      <c r="J21" s="539"/>
      <c r="K21" s="543"/>
      <c r="M21" s="321" t="s">
        <v>340</v>
      </c>
      <c r="N21" s="322">
        <v>1</v>
      </c>
      <c r="O21" s="510">
        <v>600</v>
      </c>
      <c r="P21" s="322">
        <v>12</v>
      </c>
      <c r="Q21" s="510">
        <f>(N21*O21)/P21</f>
        <v>50</v>
      </c>
    </row>
    <row r="22" spans="2:17" s="17" customFormat="1" ht="12.7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341</v>
      </c>
      <c r="N22" s="322">
        <v>1</v>
      </c>
      <c r="O22" s="510">
        <v>80</v>
      </c>
      <c r="P22" s="322">
        <v>12</v>
      </c>
      <c r="Q22" s="510">
        <f t="shared" ref="Q22" si="2">(N22*O22)/P22</f>
        <v>6.666666666666667</v>
      </c>
    </row>
    <row r="23" spans="2:17" s="17" customFormat="1" ht="12.75">
      <c r="B23" s="291"/>
      <c r="C23" s="539"/>
      <c r="D23" s="539"/>
      <c r="E23" s="539"/>
      <c r="F23" s="539"/>
      <c r="G23" s="539"/>
      <c r="H23" s="539"/>
      <c r="I23" s="539"/>
      <c r="J23" s="539"/>
      <c r="K23" s="543"/>
      <c r="M23" s="986" t="s">
        <v>147</v>
      </c>
      <c r="N23" s="986"/>
      <c r="O23" s="986"/>
      <c r="P23" s="986"/>
      <c r="Q23" s="329">
        <f>Q17+Q18+Q19+Q20+Q21+Q22</f>
        <v>65.5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986" t="s">
        <v>188</v>
      </c>
      <c r="N25" s="986"/>
      <c r="O25" s="986"/>
      <c r="P25" s="986"/>
      <c r="Q25" s="986"/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323" t="s">
        <v>114</v>
      </c>
      <c r="N26" s="324" t="s">
        <v>115</v>
      </c>
      <c r="O26" s="324" t="s">
        <v>116</v>
      </c>
      <c r="P26" s="324" t="s">
        <v>117</v>
      </c>
      <c r="Q26" s="324" t="s">
        <v>97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  <c r="M27" s="328" t="s">
        <v>220</v>
      </c>
      <c r="N27" s="322">
        <v>1</v>
      </c>
      <c r="O27" s="510">
        <v>1500</v>
      </c>
      <c r="P27" s="326">
        <v>120</v>
      </c>
      <c r="Q27" s="516">
        <f>(N27*O27)/P27</f>
        <v>12.5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328" t="s">
        <v>343</v>
      </c>
      <c r="N28" s="322">
        <v>1</v>
      </c>
      <c r="O28" s="510">
        <v>50</v>
      </c>
      <c r="P28" s="326">
        <v>12</v>
      </c>
      <c r="Q28" s="515">
        <f>N28*O28/P28</f>
        <v>4.166666666666667</v>
      </c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8" t="s">
        <v>342</v>
      </c>
      <c r="N29" s="322">
        <v>8</v>
      </c>
      <c r="O29" s="510">
        <v>16</v>
      </c>
      <c r="P29" s="326">
        <v>60</v>
      </c>
      <c r="Q29" s="515">
        <f t="shared" ref="Q29:Q30" si="3">N29*O29/P29</f>
        <v>2.1333333333333333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344</v>
      </c>
      <c r="N30" s="322">
        <v>1</v>
      </c>
      <c r="O30" s="510">
        <v>120</v>
      </c>
      <c r="P30" s="326">
        <v>60</v>
      </c>
      <c r="Q30" s="515">
        <f t="shared" si="3"/>
        <v>2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986" t="s">
        <v>147</v>
      </c>
      <c r="N31" s="986"/>
      <c r="O31" s="986"/>
      <c r="P31" s="986"/>
      <c r="Q31" s="329">
        <f>Q27+Q28+Q29+Q30</f>
        <v>20.8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545" t="s">
        <v>3</v>
      </c>
      <c r="K32" s="545" t="s">
        <v>1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276">
        <f>K27</f>
        <v>1372.86</v>
      </c>
      <c r="L33" s="21"/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261">
        <v>0.3</v>
      </c>
      <c r="K34" s="276">
        <f>K33*J34</f>
        <v>411.85799999999995</v>
      </c>
      <c r="L34" s="21"/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120</v>
      </c>
      <c r="K35" s="276">
        <f>((K33+K34)/192)*0.2*J35</f>
        <v>223.08975000000001</v>
      </c>
      <c r="L35" s="22"/>
      <c r="R35" s="23"/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276">
        <f>((K33+K34+K35)/192)*1.5*15</f>
        <v>235.28997070312499</v>
      </c>
      <c r="L36" s="22"/>
      <c r="R36" s="16"/>
    </row>
    <row r="37" spans="2:18" s="17" customFormat="1" ht="15" hidden="1" customHeight="1">
      <c r="B37" s="238"/>
      <c r="C37" s="243"/>
      <c r="D37" s="1027" t="s">
        <v>111</v>
      </c>
      <c r="E37" s="1027"/>
      <c r="F37" s="1027"/>
      <c r="G37" s="1027"/>
      <c r="H37" s="1027"/>
      <c r="I37" s="1027"/>
      <c r="J37" s="278">
        <v>0</v>
      </c>
      <c r="K37" s="276">
        <f>J37*15</f>
        <v>0</v>
      </c>
      <c r="L37" s="22"/>
      <c r="M37" s="503"/>
      <c r="N37" s="504"/>
      <c r="O37" s="504"/>
      <c r="P37" s="504"/>
      <c r="Q37" s="504"/>
    </row>
    <row r="38" spans="2:18" s="17" customFormat="1" ht="15" hidden="1" customHeight="1">
      <c r="B38" s="238"/>
      <c r="C38" s="545"/>
      <c r="D38" s="1027" t="s">
        <v>110</v>
      </c>
      <c r="E38" s="1027"/>
      <c r="F38" s="1027"/>
      <c r="G38" s="1027"/>
      <c r="H38" s="1027"/>
      <c r="I38" s="1027"/>
      <c r="J38" s="278">
        <v>0</v>
      </c>
      <c r="K38" s="276">
        <f>K37/6</f>
        <v>0</v>
      </c>
      <c r="L38" s="22"/>
      <c r="M38" s="503"/>
      <c r="N38" s="504"/>
      <c r="O38" s="504"/>
      <c r="P38" s="504"/>
      <c r="Q38" s="504"/>
    </row>
    <row r="39" spans="2:18" s="17" customFormat="1" ht="15" hidden="1" customHeight="1">
      <c r="B39" s="238"/>
      <c r="C39" s="545"/>
      <c r="D39" s="1027" t="s">
        <v>112</v>
      </c>
      <c r="E39" s="1027"/>
      <c r="F39" s="1027"/>
      <c r="G39" s="1027"/>
      <c r="H39" s="1027"/>
      <c r="I39" s="1027"/>
      <c r="J39" s="279">
        <v>0</v>
      </c>
      <c r="K39" s="276">
        <f>J39*J35</f>
        <v>0</v>
      </c>
      <c r="L39" s="22"/>
      <c r="M39" s="503"/>
      <c r="N39" s="504"/>
      <c r="O39" s="504"/>
      <c r="P39" s="504"/>
      <c r="Q39" s="504"/>
    </row>
    <row r="40" spans="2:18" s="17" customForma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>
        <v>0</v>
      </c>
      <c r="L40" s="22"/>
      <c r="M40" s="503"/>
      <c r="N40" s="504"/>
      <c r="O40" s="504"/>
      <c r="P40" s="504"/>
      <c r="Q40" s="504"/>
    </row>
    <row r="41" spans="2:18" s="17" customForma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2243.0977207031251</v>
      </c>
      <c r="L41" s="22"/>
      <c r="M41" s="503"/>
      <c r="N41" s="504"/>
      <c r="O41" s="504"/>
      <c r="P41" s="504"/>
      <c r="Q41" s="504"/>
      <c r="R41" s="23"/>
    </row>
    <row r="42" spans="2:18" s="17" customForma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SUM(K41)</f>
        <v>2243.0977207031251</v>
      </c>
      <c r="L42" s="22"/>
      <c r="M42" s="503"/>
      <c r="N42" s="1035" t="s">
        <v>241</v>
      </c>
      <c r="O42" s="1035"/>
      <c r="P42" s="1035"/>
      <c r="Q42" s="1035"/>
    </row>
    <row r="43" spans="2:18" s="17" customFormat="1">
      <c r="B43" s="291"/>
      <c r="C43" s="547"/>
      <c r="D43" s="547"/>
      <c r="E43" s="547"/>
      <c r="F43" s="547"/>
      <c r="G43" s="547"/>
      <c r="H43" s="547"/>
      <c r="I43" s="547"/>
      <c r="J43" s="547"/>
      <c r="K43" s="293"/>
      <c r="L43" s="27"/>
      <c r="M43" s="503"/>
      <c r="N43" s="1101" t="s">
        <v>242</v>
      </c>
      <c r="O43" s="1101"/>
      <c r="P43" s="1101"/>
      <c r="Q43" s="1101"/>
    </row>
    <row r="44" spans="2:18" s="17" customFormat="1">
      <c r="B44" s="291"/>
      <c r="C44" s="547"/>
      <c r="D44" s="547"/>
      <c r="E44" s="547"/>
      <c r="F44" s="547"/>
      <c r="G44" s="547"/>
      <c r="H44" s="547"/>
      <c r="I44" s="547"/>
      <c r="J44" s="547"/>
      <c r="K44" s="294"/>
      <c r="L44" s="29"/>
      <c r="M44" s="503"/>
      <c r="N44" s="504"/>
      <c r="O44" s="504"/>
      <c r="P44" s="504"/>
      <c r="Q44" s="504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9"/>
      <c r="M45" s="503"/>
      <c r="N45" s="504"/>
      <c r="O45" s="504"/>
      <c r="P45" s="504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550" t="s">
        <v>3</v>
      </c>
      <c r="K46" s="550" t="s">
        <v>1</v>
      </c>
      <c r="L46" s="29"/>
      <c r="M46" s="503"/>
      <c r="N46" s="504"/>
      <c r="O46" s="504"/>
      <c r="P46" s="504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8.3299999999999999E-2</v>
      </c>
      <c r="K47" s="274">
        <f>$K$41*J47</f>
        <v>186.85004013457032</v>
      </c>
      <c r="L47" s="29"/>
      <c r="M47" s="503"/>
      <c r="N47" s="504"/>
      <c r="O47" s="504"/>
      <c r="P47" s="504"/>
      <c r="Q47" s="504"/>
    </row>
    <row r="48" spans="2:18" s="17" customFormat="1">
      <c r="B48" s="238" t="s">
        <v>8</v>
      </c>
      <c r="C48" s="1027" t="s">
        <v>172</v>
      </c>
      <c r="D48" s="1027"/>
      <c r="E48" s="1027"/>
      <c r="F48" s="1027"/>
      <c r="G48" s="1027"/>
      <c r="H48" s="1027"/>
      <c r="I48" s="1027"/>
      <c r="J48" s="411">
        <v>0.1111</v>
      </c>
      <c r="K48" s="274">
        <f>J48*K41</f>
        <v>249.2081567701172</v>
      </c>
      <c r="L48" s="29"/>
      <c r="M48" s="503"/>
      <c r="N48" s="504"/>
      <c r="O48" s="504"/>
      <c r="P48" s="504"/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0.19440000000000002</v>
      </c>
      <c r="K49" s="521">
        <f>SUM(K47:K48)</f>
        <v>436.05819690468752</v>
      </c>
      <c r="L49" s="29"/>
      <c r="M49" s="503"/>
      <c r="N49" s="504"/>
      <c r="O49" s="504"/>
      <c r="P49" s="504"/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503"/>
      <c r="N50" s="504"/>
      <c r="O50" s="504"/>
      <c r="P50" s="504"/>
      <c r="Q50" s="504"/>
    </row>
    <row r="51" spans="2:17" s="17" customFormat="1">
      <c r="B51" s="1030" t="s">
        <v>48</v>
      </c>
      <c r="C51" s="1030"/>
      <c r="D51" s="1030"/>
      <c r="E51" s="1030"/>
      <c r="F51" s="1030"/>
      <c r="G51" s="1030"/>
      <c r="H51" s="1030"/>
      <c r="I51" s="1030"/>
      <c r="J51" s="544" t="s">
        <v>3</v>
      </c>
      <c r="K51" s="544" t="s">
        <v>1</v>
      </c>
      <c r="L51" s="29"/>
      <c r="M51" s="503"/>
      <c r="N51" s="504"/>
      <c r="O51" s="504"/>
      <c r="P51" s="504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J52*$K$42</f>
        <v>448.61954414062507</v>
      </c>
      <c r="L52" s="29"/>
      <c r="M52" s="1102" t="s">
        <v>313</v>
      </c>
      <c r="N52" s="1103"/>
      <c r="O52" s="568"/>
      <c r="P52" s="568"/>
      <c r="Q52" s="504"/>
    </row>
    <row r="53" spans="2:17" s="17" customFormat="1" ht="14.25" customHeigh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J53*$K$42</f>
        <v>56.077443017578133</v>
      </c>
      <c r="L53" s="29"/>
      <c r="M53" s="1104"/>
      <c r="N53" s="1105"/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1.4999999999999999E-2</v>
      </c>
      <c r="K54" s="273">
        <f t="shared" si="4"/>
        <v>33.646465810546879</v>
      </c>
      <c r="L54" s="29"/>
      <c r="M54" s="569" t="s">
        <v>314</v>
      </c>
      <c r="N54" s="570">
        <v>25.5</v>
      </c>
      <c r="O54" s="568"/>
      <c r="P54" s="568"/>
      <c r="Q54" s="504"/>
    </row>
    <row r="55" spans="2:17" s="17" customFormat="1" ht="14.25" customHeigh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33.646465810546879</v>
      </c>
      <c r="L55" s="29"/>
      <c r="M55" s="569" t="s">
        <v>315</v>
      </c>
      <c r="N55" s="571">
        <v>15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22.430977207031251</v>
      </c>
      <c r="L56" s="29"/>
      <c r="M56" s="569" t="s">
        <v>316</v>
      </c>
      <c r="N56" s="570">
        <f>N54*N55</f>
        <v>382.5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13.458586324218752</v>
      </c>
      <c r="L57" s="29"/>
      <c r="M57" s="569" t="s">
        <v>317</v>
      </c>
      <c r="N57" s="570">
        <f>N56*5%</f>
        <v>19.125</v>
      </c>
      <c r="O57" s="572" t="s">
        <v>318</v>
      </c>
      <c r="P57" s="585" t="s">
        <v>316</v>
      </c>
      <c r="Q57" s="504"/>
    </row>
    <row r="58" spans="2:17" s="17" customForma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4.4861954414062506</v>
      </c>
      <c r="L58" s="29"/>
      <c r="M58" s="573" t="s">
        <v>319</v>
      </c>
      <c r="N58" s="574">
        <f>N56-N57</f>
        <v>363.375</v>
      </c>
      <c r="O58" s="575">
        <v>1</v>
      </c>
      <c r="P58" s="584">
        <f>O58*N58</f>
        <v>363.375</v>
      </c>
      <c r="Q58" s="504"/>
    </row>
    <row r="59" spans="2:17" s="17" customForma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179.44781765625001</v>
      </c>
      <c r="L59" s="29"/>
      <c r="M59" s="1066" t="s">
        <v>320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0.35300000000000004</v>
      </c>
      <c r="K60" s="521">
        <f>TRUNC(SUM(K52:K59),2)</f>
        <v>791.81</v>
      </c>
      <c r="L60" s="29"/>
      <c r="M60" s="576"/>
      <c r="N60" s="576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36" t="s">
        <v>321</v>
      </c>
      <c r="N61" s="1036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567" t="s">
        <v>1</v>
      </c>
      <c r="L62" s="29"/>
      <c r="M62" s="569" t="s">
        <v>322</v>
      </c>
      <c r="N62" s="577">
        <v>4</v>
      </c>
      <c r="O62" s="568"/>
      <c r="P62" s="568"/>
      <c r="Q62" s="504"/>
    </row>
    <row r="63" spans="2:17" s="17" customFormat="1" ht="13.5" customHeight="1">
      <c r="B63" s="548" t="s">
        <v>7</v>
      </c>
      <c r="C63" s="1091" t="s">
        <v>113</v>
      </c>
      <c r="D63" s="1092"/>
      <c r="E63" s="1092"/>
      <c r="F63" s="1092"/>
      <c r="G63" s="1092"/>
      <c r="H63" s="1092"/>
      <c r="I63" s="1092"/>
      <c r="J63" s="1093"/>
      <c r="K63" s="549">
        <f>P67</f>
        <v>37.628400000000013</v>
      </c>
      <c r="L63" s="29"/>
      <c r="M63" s="569" t="s">
        <v>323</v>
      </c>
      <c r="N63" s="577">
        <v>2</v>
      </c>
      <c r="O63" s="568"/>
      <c r="P63" s="568"/>
      <c r="Q63" s="504"/>
    </row>
    <row r="64" spans="2:17" s="17" customFormat="1" ht="13.5" customHeight="1">
      <c r="B64" s="548" t="s">
        <v>8</v>
      </c>
      <c r="C64" s="1091" t="s">
        <v>173</v>
      </c>
      <c r="D64" s="1092"/>
      <c r="E64" s="1092"/>
      <c r="F64" s="1092"/>
      <c r="G64" s="1092"/>
      <c r="H64" s="1092"/>
      <c r="I64" s="1092"/>
      <c r="J64" s="1093"/>
      <c r="K64" s="271">
        <f>P58</f>
        <v>363.375</v>
      </c>
      <c r="L64" s="27"/>
      <c r="M64" s="569" t="s">
        <v>324</v>
      </c>
      <c r="N64" s="571">
        <v>15</v>
      </c>
      <c r="O64" s="568"/>
      <c r="P64" s="568"/>
      <c r="Q64" s="504"/>
    </row>
    <row r="65" spans="2:17" s="17" customFormat="1" ht="13.5" customHeight="1">
      <c r="B65" s="548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95"/>
      <c r="K65" s="271">
        <f>N74</f>
        <v>108.23</v>
      </c>
      <c r="L65" s="27"/>
      <c r="M65" s="569" t="s">
        <v>325</v>
      </c>
      <c r="N65" s="577">
        <f>(N62*N63)*N64</f>
        <v>120</v>
      </c>
      <c r="O65" s="568"/>
      <c r="P65" s="568"/>
      <c r="Q65" s="504"/>
    </row>
    <row r="66" spans="2:17" s="17" customFormat="1" ht="14.25" customHeight="1">
      <c r="B66" s="548" t="s">
        <v>10</v>
      </c>
      <c r="C66" s="563" t="s">
        <v>291</v>
      </c>
      <c r="D66" s="564"/>
      <c r="E66" s="565"/>
      <c r="F66" s="565"/>
      <c r="G66" s="565"/>
      <c r="H66" s="565"/>
      <c r="I66" s="565"/>
      <c r="J66" s="566"/>
      <c r="K66" s="271"/>
      <c r="L66" s="27"/>
      <c r="M66" s="569" t="s">
        <v>326</v>
      </c>
      <c r="N66" s="577">
        <f>K33*6%</f>
        <v>82.371599999999987</v>
      </c>
      <c r="O66" s="572" t="s">
        <v>318</v>
      </c>
      <c r="P66" s="585" t="s">
        <v>316</v>
      </c>
      <c r="Q66" s="504"/>
    </row>
    <row r="67" spans="2:17" s="17" customForma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SUM(K63:K65)</f>
        <v>509.23340000000002</v>
      </c>
      <c r="L67" s="29"/>
      <c r="M67" s="573" t="s">
        <v>319</v>
      </c>
      <c r="N67" s="578">
        <f>N65-N66</f>
        <v>37.628400000000013</v>
      </c>
      <c r="O67" s="575">
        <v>1</v>
      </c>
      <c r="P67" s="584">
        <f>O67*N67</f>
        <v>37.628400000000013</v>
      </c>
      <c r="Q67" s="504"/>
    </row>
    <row r="68" spans="2:17" s="17" customForma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9"/>
      <c r="M68" s="1066" t="s">
        <v>327</v>
      </c>
      <c r="N68" s="1066"/>
      <c r="O68" s="568"/>
      <c r="P68" s="568"/>
      <c r="Q68" s="504"/>
    </row>
    <row r="69" spans="2:17" s="17" customFormat="1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9"/>
      <c r="M69" s="568"/>
      <c r="N69" s="568"/>
      <c r="O69" s="568"/>
      <c r="P69" s="568"/>
      <c r="Q69" s="504"/>
    </row>
    <row r="70" spans="2:17" s="17" customFormat="1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544" t="s">
        <v>1</v>
      </c>
      <c r="L70" s="29"/>
      <c r="M70" s="1067" t="s">
        <v>328</v>
      </c>
      <c r="N70" s="1067"/>
      <c r="O70" s="568"/>
      <c r="P70" s="568"/>
      <c r="Q70" s="504"/>
    </row>
    <row r="71" spans="2:17" s="17" customFormat="1">
      <c r="B71" s="540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436.05819690468752</v>
      </c>
      <c r="L71" s="29"/>
      <c r="M71" s="569" t="s">
        <v>329</v>
      </c>
      <c r="N71" s="579">
        <v>109.23</v>
      </c>
      <c r="O71" s="568"/>
      <c r="P71" s="568"/>
      <c r="Q71" s="504"/>
    </row>
    <row r="72" spans="2:17" s="17" customFormat="1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791.81</v>
      </c>
      <c r="L72" s="29"/>
      <c r="M72" s="569" t="s">
        <v>330</v>
      </c>
      <c r="N72" s="579">
        <v>1</v>
      </c>
      <c r="O72" s="568"/>
      <c r="P72" s="568"/>
      <c r="Q72" s="504"/>
    </row>
    <row r="73" spans="2:17" s="17" customFormat="1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509.23340000000002</v>
      </c>
      <c r="L73" s="29"/>
      <c r="M73" s="569" t="s">
        <v>331</v>
      </c>
      <c r="N73" s="580">
        <v>1</v>
      </c>
      <c r="O73" s="568"/>
      <c r="P73" s="568"/>
      <c r="Q73" s="504"/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1737.1</v>
      </c>
      <c r="L74" s="29"/>
      <c r="M74" s="581" t="s">
        <v>332</v>
      </c>
      <c r="N74" s="583">
        <f>(N71-N72)*N73</f>
        <v>108.23</v>
      </c>
      <c r="O74" s="582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1066" t="s">
        <v>333</v>
      </c>
      <c r="N75" s="1066"/>
      <c r="O75" s="582"/>
      <c r="P75" s="568"/>
      <c r="Q75" s="504"/>
    </row>
    <row r="76" spans="2:17" s="17" customFormat="1">
      <c r="B76" s="545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545" t="s">
        <v>3</v>
      </c>
      <c r="K76" s="545" t="s">
        <v>1</v>
      </c>
      <c r="L76" s="29"/>
      <c r="M76" s="503"/>
      <c r="N76" s="504"/>
      <c r="O76" s="504"/>
      <c r="P76" s="504"/>
      <c r="Q76" s="504"/>
    </row>
    <row r="77" spans="2:17" s="17" customFormat="1">
      <c r="B77" s="545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416">
        <v>4.4999999999999997E-3</v>
      </c>
      <c r="K77" s="246">
        <f>K42*J77</f>
        <v>10.093939743164063</v>
      </c>
      <c r="L77" s="29"/>
      <c r="M77" s="503"/>
      <c r="N77" s="504"/>
      <c r="O77" s="504"/>
      <c r="P77" s="504"/>
      <c r="Q77" s="504"/>
    </row>
    <row r="78" spans="2:17" s="17" customFormat="1">
      <c r="B78" s="545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3.5999999999999997E-4</v>
      </c>
      <c r="K78" s="242">
        <f>J78*K42</f>
        <v>0.80751517945312501</v>
      </c>
      <c r="L78" s="29"/>
      <c r="M78" s="503"/>
      <c r="N78" s="504"/>
      <c r="O78" s="504"/>
      <c r="P78" s="504"/>
      <c r="Q78" s="504"/>
    </row>
    <row r="79" spans="2:17" s="17" customFormat="1">
      <c r="B79" s="545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0.02</v>
      </c>
      <c r="K79" s="242">
        <f>J79*K41</f>
        <v>44.861954414062502</v>
      </c>
      <c r="L79" s="29"/>
      <c r="M79" s="503"/>
      <c r="N79" s="504"/>
      <c r="O79" s="504"/>
      <c r="P79" s="504"/>
      <c r="Q79" s="504"/>
    </row>
    <row r="80" spans="2:17" s="17" customFormat="1">
      <c r="B80" s="545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J80*K41</f>
        <v>43.615789013671879</v>
      </c>
      <c r="L80" s="29"/>
      <c r="M80" s="503"/>
      <c r="N80" s="504"/>
      <c r="O80" s="504"/>
      <c r="P80" s="504"/>
      <c r="Q80" s="504"/>
    </row>
    <row r="81" spans="2:17" s="17" customFormat="1">
      <c r="B81" s="545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6.8638888888888899E-3</v>
      </c>
      <c r="K81" s="242">
        <f>J81*K41</f>
        <v>15.396373521826174</v>
      </c>
      <c r="L81" s="29"/>
      <c r="M81" s="503"/>
      <c r="N81" s="504"/>
      <c r="O81" s="504"/>
      <c r="P81" s="504"/>
      <c r="Q81" s="504"/>
    </row>
    <row r="82" spans="2:17" s="17" customFormat="1">
      <c r="B82" s="545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0.02</v>
      </c>
      <c r="K82" s="242">
        <f>J82*K41</f>
        <v>44.861954414062502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7.1168333333333333E-2</v>
      </c>
      <c r="K83" s="260">
        <f>TRUNC(SUM(K77:K82),2)</f>
        <v>159.63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545" t="s">
        <v>3</v>
      </c>
      <c r="K86" s="545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545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f>1/12</f>
        <v>8.3333333333333329E-2</v>
      </c>
      <c r="K87" s="242">
        <f>$K$41*J87</f>
        <v>186.92481005859375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6">
        <f t="shared" ref="K88:K92" si="5">$K$41*J88</f>
        <v>10.093939743164063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2.0000000000000001E-4</v>
      </c>
      <c r="K89" s="246">
        <f t="shared" si="5"/>
        <v>0.44861954414062505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2.9999999999999997E-4</v>
      </c>
      <c r="K90" s="246">
        <f t="shared" si="5"/>
        <v>0.67292931621093743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0</v>
      </c>
      <c r="K91" s="246">
        <f t="shared" si="5"/>
        <v>0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6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8.8333333333333333E-2</v>
      </c>
      <c r="K93" s="260">
        <f>SUM(K87:K92)</f>
        <v>198.14029866210939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544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545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f>((K33+K34+K35)/192)*1.5*15</f>
        <v>235.28997070312499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235.28997070312499</v>
      </c>
      <c r="L97" s="29"/>
      <c r="M97" s="503"/>
      <c r="N97" s="504"/>
      <c r="O97" s="504"/>
      <c r="P97" s="504"/>
      <c r="Q97" s="504"/>
    </row>
    <row r="98" spans="2:17" s="17" customFormat="1">
      <c r="B98" s="541"/>
      <c r="C98" s="542"/>
      <c r="D98" s="542"/>
      <c r="E98" s="542"/>
      <c r="F98" s="542"/>
      <c r="G98" s="542"/>
      <c r="H98" s="542"/>
      <c r="I98" s="542"/>
      <c r="J98" s="542"/>
      <c r="K98" s="543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544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545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198.14029866210939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235.28997070312499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433.43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0.70690166666666665</v>
      </c>
      <c r="K104" s="520">
        <f>K93+K83+K60+K49</f>
        <v>1585.6384955667968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544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544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545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56.916666666666664</v>
      </c>
      <c r="L108" s="29"/>
      <c r="M108" s="503"/>
      <c r="N108" s="504"/>
      <c r="O108" s="504"/>
      <c r="P108" s="504"/>
      <c r="Q108" s="504"/>
    </row>
    <row r="109" spans="2:17" s="17" customFormat="1">
      <c r="B109" s="545" t="s">
        <v>8</v>
      </c>
      <c r="C109" s="1038" t="s">
        <v>345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Q23</f>
        <v>65.5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346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Q31</f>
        <v>20.8</v>
      </c>
      <c r="L110" s="29"/>
      <c r="M110" s="503"/>
      <c r="N110" s="504"/>
      <c r="O110" s="504"/>
      <c r="P110" s="504"/>
      <c r="Q110" s="504"/>
    </row>
    <row r="111" spans="2:17" s="17" customFormat="1">
      <c r="B111" s="1083" t="s">
        <v>70</v>
      </c>
      <c r="C111" s="1083"/>
      <c r="D111" s="1083"/>
      <c r="E111" s="1083"/>
      <c r="F111" s="1083"/>
      <c r="G111" s="1083"/>
      <c r="H111" s="1083"/>
      <c r="I111" s="1083"/>
      <c r="J111" s="419" t="s">
        <v>0</v>
      </c>
      <c r="K111" s="415">
        <f>TRUNC(SUM(K108:K110),2)</f>
        <v>143.21</v>
      </c>
      <c r="L111" s="29"/>
      <c r="M111" s="503"/>
      <c r="N111" s="504"/>
      <c r="O111" s="504"/>
      <c r="P111" s="504"/>
      <c r="Q111" s="504"/>
    </row>
    <row r="112" spans="2:17" s="17" customFormat="1">
      <c r="B112" s="1084" t="s">
        <v>71</v>
      </c>
      <c r="C112" s="1084"/>
      <c r="D112" s="1084"/>
      <c r="E112" s="1084"/>
      <c r="F112" s="1084"/>
      <c r="G112" s="1084"/>
      <c r="H112" s="1084"/>
      <c r="I112" s="1084"/>
      <c r="J112" s="1084"/>
      <c r="K112" s="1084"/>
      <c r="L112" s="29"/>
      <c r="M112" s="503"/>
      <c r="N112" s="504"/>
      <c r="O112" s="504"/>
      <c r="P112" s="504"/>
      <c r="Q112" s="504"/>
    </row>
    <row r="113" spans="2:18" s="17" customFormat="1">
      <c r="B113" s="545">
        <v>6</v>
      </c>
      <c r="C113" s="1085" t="s">
        <v>18</v>
      </c>
      <c r="D113" s="1085"/>
      <c r="E113" s="1085"/>
      <c r="F113" s="1085"/>
      <c r="G113" s="1085"/>
      <c r="H113" s="1085"/>
      <c r="I113" s="1085"/>
      <c r="J113" s="545" t="s">
        <v>3</v>
      </c>
      <c r="K113" s="545" t="s">
        <v>1</v>
      </c>
      <c r="L113" s="29"/>
      <c r="M113" s="503"/>
      <c r="N113" s="504"/>
      <c r="O113" s="504"/>
      <c r="P113" s="504"/>
      <c r="Q113" s="504"/>
    </row>
    <row r="114" spans="2:18" s="17" customFormat="1">
      <c r="B114" s="545" t="s">
        <v>7</v>
      </c>
      <c r="C114" s="1044" t="s">
        <v>21</v>
      </c>
      <c r="D114" s="1044"/>
      <c r="E114" s="1044"/>
      <c r="F114" s="1044"/>
      <c r="G114" s="1044"/>
      <c r="H114" s="1044"/>
      <c r="I114" s="1044"/>
      <c r="J114" s="411">
        <v>0.11666799999999999</v>
      </c>
      <c r="K114" s="355">
        <f>TRUNC(J114*K139,2)</f>
        <v>550.26</v>
      </c>
      <c r="L114" s="29"/>
      <c r="M114" s="503"/>
      <c r="N114" s="504"/>
      <c r="O114" s="504"/>
      <c r="P114" s="504"/>
      <c r="Q114" s="504"/>
      <c r="R114" s="128"/>
    </row>
    <row r="115" spans="2:18" s="17" customFormat="1">
      <c r="B115" s="243" t="s">
        <v>8</v>
      </c>
      <c r="C115" s="1044" t="s">
        <v>4</v>
      </c>
      <c r="D115" s="1044"/>
      <c r="E115" s="1044"/>
      <c r="F115" s="1044"/>
      <c r="G115" s="1044"/>
      <c r="H115" s="1044"/>
      <c r="I115" s="1044"/>
      <c r="J115" s="411">
        <v>0.10199999999999999</v>
      </c>
      <c r="K115" s="355">
        <f>TRUNC(J115*(K114+K139),2)</f>
        <v>537.20000000000005</v>
      </c>
      <c r="M115" s="503"/>
      <c r="N115" s="504"/>
      <c r="O115" s="504"/>
      <c r="P115" s="504"/>
      <c r="Q115" s="504"/>
    </row>
    <row r="116" spans="2:18" s="17" customFormat="1">
      <c r="B116" s="534" t="s">
        <v>9</v>
      </c>
      <c r="C116" s="1086" t="s">
        <v>28</v>
      </c>
      <c r="D116" s="1087"/>
      <c r="E116" s="1087"/>
      <c r="F116" s="1087"/>
      <c r="G116" s="1087"/>
      <c r="H116" s="1087"/>
      <c r="I116" s="1087"/>
      <c r="J116" s="1088"/>
      <c r="K116" s="1089"/>
      <c r="L116" s="25"/>
      <c r="M116" s="503"/>
      <c r="N116" s="504"/>
      <c r="O116" s="504"/>
      <c r="P116" s="504"/>
      <c r="Q116" s="504"/>
    </row>
    <row r="117" spans="2:18" s="17" customFormat="1">
      <c r="B117" s="243" t="s">
        <v>29</v>
      </c>
      <c r="C117" s="1044" t="s">
        <v>82</v>
      </c>
      <c r="D117" s="1044"/>
      <c r="E117" s="1044"/>
      <c r="F117" s="1044"/>
      <c r="G117" s="1044"/>
      <c r="H117" s="1044"/>
      <c r="I117" s="1044"/>
      <c r="J117" s="245">
        <v>6.4999999999999997E-3</v>
      </c>
      <c r="K117" s="426">
        <f>TRUNC(J117*K128,2)</f>
        <v>41.29</v>
      </c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77</v>
      </c>
      <c r="D118" s="1044"/>
      <c r="E118" s="1044"/>
      <c r="F118" s="1044"/>
      <c r="G118" s="1044"/>
      <c r="H118" s="1044"/>
      <c r="I118" s="1044"/>
      <c r="J118" s="245">
        <v>0.03</v>
      </c>
      <c r="K118" s="426">
        <f>TRUNC(J118*K128,2)</f>
        <v>190.6</v>
      </c>
      <c r="L118" s="25">
        <f>K143</f>
        <v>12706.976967706623</v>
      </c>
      <c r="M118" s="503"/>
      <c r="N118" s="504"/>
      <c r="O118" s="504"/>
      <c r="P118" s="504"/>
      <c r="Q118" s="504"/>
    </row>
    <row r="119" spans="2:18" s="17" customFormat="1">
      <c r="B119" s="243" t="s">
        <v>30</v>
      </c>
      <c r="C119" s="1044" t="s">
        <v>80</v>
      </c>
      <c r="D119" s="1044"/>
      <c r="E119" s="1044"/>
      <c r="F119" s="1044"/>
      <c r="G119" s="1044"/>
      <c r="H119" s="1044"/>
      <c r="I119" s="1044"/>
      <c r="J119" s="247" t="s">
        <v>79</v>
      </c>
      <c r="K119" s="426">
        <v>0</v>
      </c>
      <c r="M119" s="503"/>
      <c r="N119" s="504"/>
      <c r="O119" s="504"/>
      <c r="P119" s="504"/>
      <c r="Q119" s="504"/>
    </row>
    <row r="120" spans="2:18" s="17" customFormat="1">
      <c r="B120" s="243" t="s">
        <v>31</v>
      </c>
      <c r="C120" s="1044" t="s">
        <v>78</v>
      </c>
      <c r="D120" s="1044"/>
      <c r="E120" s="1044"/>
      <c r="F120" s="1044"/>
      <c r="G120" s="1044"/>
      <c r="H120" s="1044"/>
      <c r="I120" s="1044"/>
      <c r="J120" s="245">
        <v>0.05</v>
      </c>
      <c r="K120" s="426">
        <f>TRUNC(J120*K128,2)</f>
        <v>317.67</v>
      </c>
      <c r="M120" s="503"/>
      <c r="N120" s="504"/>
      <c r="O120" s="504"/>
      <c r="P120" s="504"/>
      <c r="Q120" s="504"/>
    </row>
    <row r="121" spans="2:18" s="17" customFormat="1">
      <c r="B121" s="1080" t="s">
        <v>72</v>
      </c>
      <c r="C121" s="1080"/>
      <c r="D121" s="1080"/>
      <c r="E121" s="1080"/>
      <c r="F121" s="1080"/>
      <c r="G121" s="1080"/>
      <c r="H121" s="1080"/>
      <c r="I121" s="1080"/>
      <c r="J121" s="420">
        <f>SUM(J114:J120)</f>
        <v>0.30516799999999994</v>
      </c>
      <c r="K121" s="523">
        <f>TRUNC(SUM(K114:K120),2)</f>
        <v>1637.02</v>
      </c>
      <c r="M121" s="503"/>
      <c r="N121" s="504"/>
      <c r="O121" s="504"/>
      <c r="P121" s="504"/>
      <c r="Q121" s="504"/>
      <c r="R121" s="127"/>
    </row>
    <row r="122" spans="2:18" s="17" customFormat="1">
      <c r="B122" s="291"/>
      <c r="C122" s="542"/>
      <c r="D122" s="1081"/>
      <c r="E122" s="1081"/>
      <c r="F122" s="1081"/>
      <c r="G122" s="1081"/>
      <c r="H122" s="1081"/>
      <c r="I122" s="1081"/>
      <c r="J122" s="1081"/>
      <c r="K122" s="1082"/>
      <c r="M122" s="503"/>
      <c r="N122" s="504"/>
      <c r="O122" s="504"/>
      <c r="P122" s="504"/>
      <c r="Q122" s="504"/>
    </row>
    <row r="123" spans="2:18" s="17" customFormat="1">
      <c r="B123" s="300" t="s">
        <v>32</v>
      </c>
      <c r="C123" s="301"/>
      <c r="D123" s="1071" t="s">
        <v>33</v>
      </c>
      <c r="E123" s="1071"/>
      <c r="F123" s="1071"/>
      <c r="G123" s="1071"/>
      <c r="H123" s="1071"/>
      <c r="I123" s="1072"/>
      <c r="J123" s="1073">
        <f>TRUNC(J117+J118+J120,4)</f>
        <v>8.6499999999999994E-2</v>
      </c>
      <c r="K123" s="1074"/>
      <c r="M123" s="503"/>
      <c r="N123" s="504"/>
      <c r="O123" s="504"/>
      <c r="P123" s="504"/>
      <c r="Q123" s="504"/>
    </row>
    <row r="124" spans="2:18" s="17" customFormat="1">
      <c r="B124" s="233"/>
      <c r="C124" s="302"/>
      <c r="D124" s="1077">
        <v>100</v>
      </c>
      <c r="E124" s="1078"/>
      <c r="F124" s="1078"/>
      <c r="G124" s="1078"/>
      <c r="H124" s="1078"/>
      <c r="I124" s="1079"/>
      <c r="J124" s="1075"/>
      <c r="K124" s="1076"/>
      <c r="M124" s="503"/>
      <c r="N124" s="504"/>
      <c r="O124" s="504"/>
      <c r="P124" s="504"/>
      <c r="Q124" s="504"/>
    </row>
    <row r="125" spans="2:18" s="17" customFormat="1">
      <c r="B125" s="311"/>
      <c r="C125" s="310"/>
      <c r="D125" s="535"/>
      <c r="E125" s="535"/>
      <c r="F125" s="535"/>
      <c r="G125" s="535"/>
      <c r="H125" s="535"/>
      <c r="I125" s="536"/>
      <c r="J125" s="537"/>
      <c r="K125" s="413"/>
      <c r="M125" s="503"/>
      <c r="N125" s="504"/>
      <c r="O125" s="504"/>
      <c r="P125" s="504"/>
      <c r="Q125" s="504"/>
    </row>
    <row r="126" spans="2:18" s="17" customFormat="1">
      <c r="B126" s="233" t="s">
        <v>34</v>
      </c>
      <c r="C126" s="302"/>
      <c r="D126" s="1078" t="s">
        <v>73</v>
      </c>
      <c r="E126" s="1078"/>
      <c r="F126" s="1078"/>
      <c r="G126" s="1078"/>
      <c r="H126" s="1078"/>
      <c r="I126" s="1079"/>
      <c r="J126" s="538"/>
      <c r="K126" s="429">
        <f>TRUNC(K139+K114+K115,2)</f>
        <v>5803.93</v>
      </c>
      <c r="M126" s="503"/>
      <c r="N126" s="504"/>
      <c r="O126" s="504"/>
      <c r="P126" s="504"/>
      <c r="Q126" s="504"/>
    </row>
    <row r="127" spans="2:18" s="17" customFormat="1">
      <c r="B127" s="300"/>
      <c r="C127" s="301"/>
      <c r="D127" s="535"/>
      <c r="E127" s="535"/>
      <c r="F127" s="535"/>
      <c r="G127" s="535"/>
      <c r="H127" s="535"/>
      <c r="I127" s="536"/>
      <c r="J127" s="537"/>
      <c r="K127" s="414"/>
      <c r="M127" s="503"/>
      <c r="N127" s="504"/>
      <c r="O127" s="504"/>
      <c r="P127" s="504"/>
      <c r="Q127" s="504"/>
    </row>
    <row r="128" spans="2:18" s="17" customFormat="1">
      <c r="B128" s="233" t="s">
        <v>35</v>
      </c>
      <c r="C128" s="302"/>
      <c r="D128" s="1078" t="s">
        <v>36</v>
      </c>
      <c r="E128" s="1078"/>
      <c r="F128" s="1078"/>
      <c r="G128" s="1078"/>
      <c r="H128" s="1078"/>
      <c r="I128" s="1079"/>
      <c r="J128" s="538"/>
      <c r="K128" s="429">
        <f>K126/(1-J123)</f>
        <v>6353.5084838533121</v>
      </c>
      <c r="M128" s="503"/>
      <c r="N128" s="504"/>
      <c r="O128" s="504"/>
      <c r="P128" s="504"/>
      <c r="Q128" s="504"/>
    </row>
    <row r="129" spans="2:17" s="17" customFormat="1">
      <c r="B129" s="546"/>
      <c r="C129" s="301"/>
      <c r="D129" s="535"/>
      <c r="E129" s="535"/>
      <c r="F129" s="535"/>
      <c r="G129" s="535"/>
      <c r="H129" s="535"/>
      <c r="I129" s="536"/>
      <c r="J129" s="537"/>
      <c r="K129" s="414"/>
      <c r="M129" s="503"/>
      <c r="N129" s="504"/>
      <c r="O129" s="504"/>
      <c r="P129" s="504"/>
      <c r="Q129" s="504"/>
    </row>
    <row r="130" spans="2:17" s="17" customFormat="1">
      <c r="B130" s="291"/>
      <c r="C130" s="302"/>
      <c r="D130" s="1078" t="s">
        <v>37</v>
      </c>
      <c r="E130" s="1078"/>
      <c r="F130" s="1078"/>
      <c r="G130" s="1078"/>
      <c r="H130" s="1078"/>
      <c r="I130" s="1079"/>
      <c r="J130" s="538"/>
      <c r="K130" s="429">
        <f>TRUNC(K128-K126,2)</f>
        <v>549.57000000000005</v>
      </c>
      <c r="M130" s="503"/>
      <c r="N130" s="504"/>
      <c r="O130" s="504"/>
      <c r="P130" s="504"/>
      <c r="Q130" s="504"/>
    </row>
    <row r="131" spans="2:17" s="17" customFormat="1">
      <c r="B131" s="291"/>
      <c r="C131" s="542"/>
      <c r="D131" s="542"/>
      <c r="E131" s="542"/>
      <c r="F131" s="542"/>
      <c r="G131" s="542"/>
      <c r="H131" s="542"/>
      <c r="I131" s="542"/>
      <c r="J131" s="542"/>
      <c r="K131" s="295"/>
      <c r="M131" s="503"/>
      <c r="N131" s="504"/>
      <c r="O131" s="504"/>
      <c r="P131" s="504"/>
      <c r="Q131" s="504"/>
    </row>
    <row r="132" spans="2:17" s="17" customFormat="1">
      <c r="B132" s="1064" t="s">
        <v>83</v>
      </c>
      <c r="C132" s="1064"/>
      <c r="D132" s="1064"/>
      <c r="E132" s="1064"/>
      <c r="F132" s="1064"/>
      <c r="G132" s="1064"/>
      <c r="H132" s="1064"/>
      <c r="I132" s="1064"/>
      <c r="J132" s="1064"/>
      <c r="K132" s="1064"/>
      <c r="M132" s="503"/>
      <c r="N132" s="504"/>
      <c r="O132" s="504"/>
      <c r="P132" s="504"/>
      <c r="Q132" s="504"/>
    </row>
    <row r="133" spans="2:17" s="17" customFormat="1">
      <c r="B133" s="1065" t="s">
        <v>22</v>
      </c>
      <c r="C133" s="1065"/>
      <c r="D133" s="1065"/>
      <c r="E133" s="1065"/>
      <c r="F133" s="1065"/>
      <c r="G133" s="1065"/>
      <c r="H133" s="1065"/>
      <c r="I133" s="1065"/>
      <c r="J133" s="1065"/>
      <c r="K133" s="534" t="s">
        <v>1</v>
      </c>
      <c r="M133" s="503"/>
      <c r="N133" s="504"/>
      <c r="O133" s="504"/>
      <c r="P133" s="504"/>
      <c r="Q133" s="504"/>
    </row>
    <row r="134" spans="2:17" s="17" customFormat="1">
      <c r="B134" s="238" t="s">
        <v>7</v>
      </c>
      <c r="C134" s="1044" t="str">
        <f>B31</f>
        <v>MÓDULO 1 - COMPOSIÇÃO DA REMUNERAÇÃO</v>
      </c>
      <c r="D134" s="1044"/>
      <c r="E134" s="1044"/>
      <c r="F134" s="1044"/>
      <c r="G134" s="1044"/>
      <c r="H134" s="1044"/>
      <c r="I134" s="1044"/>
      <c r="J134" s="1044"/>
      <c r="K134" s="355">
        <f>K42</f>
        <v>2243.0977207031251</v>
      </c>
      <c r="M134" s="595">
        <v>2243.1</v>
      </c>
      <c r="N134" s="504"/>
      <c r="O134" s="504"/>
      <c r="P134" s="504"/>
      <c r="Q134" s="504"/>
    </row>
    <row r="135" spans="2:17" s="17" customFormat="1">
      <c r="B135" s="240" t="s">
        <v>8</v>
      </c>
      <c r="C135" s="1044" t="str">
        <f>B45</f>
        <v>MÓDULO 2 – ENCARGOS E BENEFÍCIOS ANUAIS, MENSAIS E DIÁRIOS</v>
      </c>
      <c r="D135" s="1044"/>
      <c r="E135" s="1044"/>
      <c r="F135" s="1044"/>
      <c r="G135" s="1044"/>
      <c r="H135" s="1044"/>
      <c r="I135" s="1044"/>
      <c r="J135" s="1044"/>
      <c r="K135" s="426">
        <f>K74</f>
        <v>1737.1</v>
      </c>
      <c r="M135" s="595">
        <v>1737.1</v>
      </c>
      <c r="N135" s="504"/>
      <c r="O135" s="504"/>
      <c r="P135" s="504"/>
      <c r="Q135" s="504"/>
    </row>
    <row r="136" spans="2:17" s="17" customFormat="1">
      <c r="B136" s="240" t="s">
        <v>9</v>
      </c>
      <c r="C136" s="1044" t="str">
        <f>B75</f>
        <v>MÓDULO 3 – PROVISÃO PARA RESCISÃO</v>
      </c>
      <c r="D136" s="1044"/>
      <c r="E136" s="1044"/>
      <c r="F136" s="1044"/>
      <c r="G136" s="1044"/>
      <c r="H136" s="1044"/>
      <c r="I136" s="1044"/>
      <c r="J136" s="1044"/>
      <c r="K136" s="426">
        <f>K83</f>
        <v>159.63</v>
      </c>
      <c r="M136" s="595">
        <v>159.63</v>
      </c>
      <c r="N136" s="504"/>
      <c r="O136" s="504"/>
      <c r="P136" s="504"/>
      <c r="Q136" s="504"/>
    </row>
    <row r="137" spans="2:17" s="17" customFormat="1">
      <c r="B137" s="238" t="s">
        <v>10</v>
      </c>
      <c r="C137" s="1044" t="str">
        <f>B85</f>
        <v>MÓDULO 4 – CUSTO DE REPOSIÇÃO DO PROFISSIONAL AUSENTE</v>
      </c>
      <c r="D137" s="1044"/>
      <c r="E137" s="1044"/>
      <c r="F137" s="1044"/>
      <c r="G137" s="1044"/>
      <c r="H137" s="1044"/>
      <c r="I137" s="1044"/>
      <c r="J137" s="1044"/>
      <c r="K137" s="426">
        <f>K103</f>
        <v>433.43</v>
      </c>
      <c r="M137" s="595">
        <v>433.43</v>
      </c>
      <c r="N137" s="504"/>
      <c r="O137" s="504"/>
      <c r="P137" s="504"/>
      <c r="Q137" s="504"/>
    </row>
    <row r="138" spans="2:17" s="17" customFormat="1" ht="15.75" thickBot="1">
      <c r="B138" s="424" t="s">
        <v>11</v>
      </c>
      <c r="C138" s="1061" t="str">
        <f>B106</f>
        <v>MÓDULO 5 – INSUMOS DIVERSOS</v>
      </c>
      <c r="D138" s="1061"/>
      <c r="E138" s="1061"/>
      <c r="F138" s="1061"/>
      <c r="G138" s="1061"/>
      <c r="H138" s="1061"/>
      <c r="I138" s="1061"/>
      <c r="J138" s="1061"/>
      <c r="K138" s="427">
        <f>K111</f>
        <v>143.21</v>
      </c>
      <c r="M138" s="595">
        <v>143.21</v>
      </c>
      <c r="N138" s="504"/>
      <c r="O138" s="504"/>
      <c r="P138" s="504"/>
      <c r="Q138" s="504"/>
    </row>
    <row r="139" spans="2:17" s="17" customFormat="1">
      <c r="B139" s="1062" t="s">
        <v>74</v>
      </c>
      <c r="C139" s="1063"/>
      <c r="D139" s="1063"/>
      <c r="E139" s="1063"/>
      <c r="F139" s="1063"/>
      <c r="G139" s="1063"/>
      <c r="H139" s="1063"/>
      <c r="I139" s="1063"/>
      <c r="J139" s="1063"/>
      <c r="K139" s="430">
        <f>TRUNC(SUM(K134:K138),2)+0.01</f>
        <v>4716.47</v>
      </c>
      <c r="M139" s="595">
        <f>M134+M135+M136+M137+M138</f>
        <v>4716.47</v>
      </c>
      <c r="N139" s="504"/>
      <c r="O139" s="504"/>
      <c r="P139" s="504"/>
      <c r="Q139" s="504"/>
    </row>
    <row r="140" spans="2:17" s="17" customFormat="1">
      <c r="B140" s="425" t="s">
        <v>13</v>
      </c>
      <c r="C140" s="1061" t="str">
        <f>B112</f>
        <v>MÓDULO 6 – CUSTOS INDIRETOS, TRIBUTOS E LUCRO</v>
      </c>
      <c r="D140" s="1061"/>
      <c r="E140" s="1061"/>
      <c r="F140" s="1061"/>
      <c r="G140" s="1061"/>
      <c r="H140" s="1061"/>
      <c r="I140" s="1061"/>
      <c r="J140" s="1061"/>
      <c r="K140" s="428">
        <f>K121</f>
        <v>1637.02</v>
      </c>
      <c r="M140" s="595">
        <v>1637.02</v>
      </c>
      <c r="N140" s="504"/>
      <c r="O140" s="504"/>
      <c r="P140" s="504"/>
      <c r="Q140" s="504"/>
    </row>
    <row r="141" spans="2:17" s="17" customFormat="1">
      <c r="B141" s="1064" t="s">
        <v>75</v>
      </c>
      <c r="C141" s="1064"/>
      <c r="D141" s="1064"/>
      <c r="E141" s="1064"/>
      <c r="F141" s="1064"/>
      <c r="G141" s="1064"/>
      <c r="H141" s="1064"/>
      <c r="I141" s="1064"/>
      <c r="J141" s="1064"/>
      <c r="K141" s="347">
        <f>(K139+K115+K114)/(1-J123)-0.02</f>
        <v>6353.4884838533117</v>
      </c>
      <c r="L141" s="16"/>
      <c r="M141" s="595">
        <f>M139+M140</f>
        <v>6353.49</v>
      </c>
      <c r="N141" s="504"/>
      <c r="O141" s="504"/>
      <c r="P141" s="504"/>
      <c r="Q141" s="504"/>
    </row>
    <row r="142" spans="2:17" s="17" customFormat="1">
      <c r="B142" s="1064" t="s">
        <v>100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v>2</v>
      </c>
      <c r="M142" s="503">
        <v>2</v>
      </c>
      <c r="N142" s="504"/>
      <c r="O142" s="504"/>
      <c r="P142" s="504"/>
      <c r="Q142" s="504"/>
    </row>
    <row r="143" spans="2:17" s="17" customFormat="1">
      <c r="B143" s="1064" t="s">
        <v>143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f>K141*K142</f>
        <v>12706.976967706623</v>
      </c>
      <c r="M143" s="595">
        <f>M141*M142</f>
        <v>12706.98</v>
      </c>
      <c r="N143" s="504"/>
      <c r="O143" s="504"/>
      <c r="P143" s="504"/>
      <c r="Q143" s="504"/>
    </row>
    <row r="144" spans="2:17" s="29" customFormat="1">
      <c r="B144" s="1064" t="s">
        <v>122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v>1</v>
      </c>
      <c r="M144" s="503">
        <v>1</v>
      </c>
      <c r="N144" s="504"/>
      <c r="O144" s="504"/>
      <c r="P144" s="504"/>
      <c r="Q144" s="504"/>
    </row>
    <row r="145" spans="2:17" s="29" customFormat="1" ht="15" customHeight="1">
      <c r="B145" s="1064" t="s">
        <v>144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f>K143*K144</f>
        <v>12706.976967706623</v>
      </c>
      <c r="M145" s="595">
        <f>M143*M144</f>
        <v>12706.98</v>
      </c>
      <c r="N145" s="504"/>
      <c r="O145" s="504"/>
      <c r="P145" s="504"/>
      <c r="Q145" s="504"/>
    </row>
    <row r="146" spans="2:17" s="29" customFormat="1">
      <c r="B146" s="1064" t="s">
        <v>145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K145*12+0.04</f>
        <v>152483.7636124795</v>
      </c>
      <c r="M146" s="503">
        <v>12</v>
      </c>
      <c r="N146" s="504"/>
      <c r="O146" s="504"/>
      <c r="P146" s="504"/>
      <c r="Q146" s="504"/>
    </row>
    <row r="147" spans="2:17" s="29" customFormat="1">
      <c r="B147" s="234"/>
      <c r="C147" s="421"/>
      <c r="D147" s="421"/>
      <c r="E147" s="421"/>
      <c r="F147" s="421"/>
      <c r="G147" s="421"/>
      <c r="H147" s="421"/>
      <c r="I147" s="421"/>
      <c r="J147" s="421"/>
      <c r="K147" s="421"/>
      <c r="M147" s="595">
        <f>M145*M146</f>
        <v>152483.76</v>
      </c>
      <c r="N147" s="504"/>
      <c r="O147" s="504"/>
      <c r="P147" s="504"/>
      <c r="Q147" s="504"/>
    </row>
    <row r="148" spans="2:17" s="423" customFormat="1" ht="15.75">
      <c r="B148" s="422"/>
      <c r="C148" s="422"/>
      <c r="D148" s="422"/>
      <c r="E148" s="422"/>
      <c r="F148" s="422"/>
      <c r="G148" s="422"/>
      <c r="H148" s="533"/>
      <c r="I148" s="533"/>
      <c r="J148" s="533"/>
      <c r="K148" s="533"/>
      <c r="M148" s="503"/>
      <c r="N148" s="504"/>
      <c r="O148" s="504"/>
      <c r="P148" s="504"/>
      <c r="Q148" s="504"/>
    </row>
    <row r="149" spans="2:17" s="423" customFormat="1" ht="15.75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ht="15.75">
      <c r="H150" s="533"/>
      <c r="I150" s="533"/>
      <c r="J150" s="533"/>
      <c r="K150" s="533"/>
    </row>
    <row r="151" spans="2:17" ht="15.75">
      <c r="H151" s="1059" t="s">
        <v>241</v>
      </c>
      <c r="I151" s="1059"/>
      <c r="J151" s="1059"/>
      <c r="K151" s="1059"/>
    </row>
    <row r="152" spans="2:17" ht="15.75">
      <c r="H152" s="1060" t="s">
        <v>242</v>
      </c>
      <c r="I152" s="1060"/>
      <c r="J152" s="1060"/>
      <c r="K152" s="1060"/>
    </row>
  </sheetData>
  <mergeCells count="162">
    <mergeCell ref="H151:K151"/>
    <mergeCell ref="H152:K152"/>
    <mergeCell ref="B141:J141"/>
    <mergeCell ref="B142:J142"/>
    <mergeCell ref="B143:J143"/>
    <mergeCell ref="B144:J144"/>
    <mergeCell ref="B145:J145"/>
    <mergeCell ref="B146:J146"/>
    <mergeCell ref="C135:J135"/>
    <mergeCell ref="C136:J136"/>
    <mergeCell ref="C137:J137"/>
    <mergeCell ref="C138:J138"/>
    <mergeCell ref="B139:J139"/>
    <mergeCell ref="C140:J140"/>
    <mergeCell ref="D126:I126"/>
    <mergeCell ref="D128:I128"/>
    <mergeCell ref="D130:I130"/>
    <mergeCell ref="B132:K132"/>
    <mergeCell ref="B133:J133"/>
    <mergeCell ref="C134:J134"/>
    <mergeCell ref="C119:I119"/>
    <mergeCell ref="C120:I120"/>
    <mergeCell ref="B121:I121"/>
    <mergeCell ref="D122:K122"/>
    <mergeCell ref="D123:I123"/>
    <mergeCell ref="J123:K124"/>
    <mergeCell ref="D124:I124"/>
    <mergeCell ref="C113:I113"/>
    <mergeCell ref="C114:I114"/>
    <mergeCell ref="C115:I115"/>
    <mergeCell ref="C116:K116"/>
    <mergeCell ref="C117:I117"/>
    <mergeCell ref="C118:I118"/>
    <mergeCell ref="C107:J107"/>
    <mergeCell ref="C108:I108"/>
    <mergeCell ref="C109:I109"/>
    <mergeCell ref="C110:I110"/>
    <mergeCell ref="B111:I111"/>
    <mergeCell ref="B112:K112"/>
    <mergeCell ref="C101:J101"/>
    <mergeCell ref="C102:J102"/>
    <mergeCell ref="B103:J103"/>
    <mergeCell ref="B104:I104"/>
    <mergeCell ref="B105:K105"/>
    <mergeCell ref="B106:K106"/>
    <mergeCell ref="B94:K94"/>
    <mergeCell ref="B95:J95"/>
    <mergeCell ref="C96:J96"/>
    <mergeCell ref="B97:J97"/>
    <mergeCell ref="B99:K99"/>
    <mergeCell ref="B100:J100"/>
    <mergeCell ref="C88:I88"/>
    <mergeCell ref="C89:I89"/>
    <mergeCell ref="C90:I90"/>
    <mergeCell ref="C91:I91"/>
    <mergeCell ref="C92:I92"/>
    <mergeCell ref="B93:I93"/>
    <mergeCell ref="C82:I82"/>
    <mergeCell ref="B83:I83"/>
    <mergeCell ref="C84:K84"/>
    <mergeCell ref="B85:K85"/>
    <mergeCell ref="B86:I86"/>
    <mergeCell ref="C87:I87"/>
    <mergeCell ref="C76:I76"/>
    <mergeCell ref="C77:I77"/>
    <mergeCell ref="C78:I78"/>
    <mergeCell ref="C79:I79"/>
    <mergeCell ref="C80:I80"/>
    <mergeCell ref="C81:I81"/>
    <mergeCell ref="C71:J71"/>
    <mergeCell ref="C72:J72"/>
    <mergeCell ref="C73:J73"/>
    <mergeCell ref="C74:J74"/>
    <mergeCell ref="B75:K75"/>
    <mergeCell ref="M75:N75"/>
    <mergeCell ref="B67:J67"/>
    <mergeCell ref="C68:K68"/>
    <mergeCell ref="M68:N68"/>
    <mergeCell ref="B69:K69"/>
    <mergeCell ref="B70:J70"/>
    <mergeCell ref="M70:N70"/>
    <mergeCell ref="C61:K61"/>
    <mergeCell ref="M61:N61"/>
    <mergeCell ref="B62:J62"/>
    <mergeCell ref="C63:J63"/>
    <mergeCell ref="C64:J64"/>
    <mergeCell ref="C65:J65"/>
    <mergeCell ref="C56:I56"/>
    <mergeCell ref="C57:I57"/>
    <mergeCell ref="C58:I58"/>
    <mergeCell ref="C59:I59"/>
    <mergeCell ref="M59:N59"/>
    <mergeCell ref="B60:I60"/>
    <mergeCell ref="B51:I51"/>
    <mergeCell ref="C52:I52"/>
    <mergeCell ref="M52:N53"/>
    <mergeCell ref="C53:I53"/>
    <mergeCell ref="C54:I54"/>
    <mergeCell ref="C55:I55"/>
    <mergeCell ref="B45:K45"/>
    <mergeCell ref="B46:I46"/>
    <mergeCell ref="C47:I47"/>
    <mergeCell ref="C48:I48"/>
    <mergeCell ref="B49:I49"/>
    <mergeCell ref="B50:K50"/>
    <mergeCell ref="D39:I39"/>
    <mergeCell ref="C40:I40"/>
    <mergeCell ref="B41:J41"/>
    <mergeCell ref="B42:J42"/>
    <mergeCell ref="N42:Q42"/>
    <mergeCell ref="N43:Q43"/>
    <mergeCell ref="C33:I33"/>
    <mergeCell ref="C34:I34"/>
    <mergeCell ref="C35:I35"/>
    <mergeCell ref="C36:I36"/>
    <mergeCell ref="D37:I37"/>
    <mergeCell ref="D38:I38"/>
    <mergeCell ref="C28:J28"/>
    <mergeCell ref="C29:J29"/>
    <mergeCell ref="C30:K30"/>
    <mergeCell ref="B31:K31"/>
    <mergeCell ref="M31:P31"/>
    <mergeCell ref="C32:I32"/>
    <mergeCell ref="M23:P23"/>
    <mergeCell ref="B24:K24"/>
    <mergeCell ref="C25:J25"/>
    <mergeCell ref="M25:Q25"/>
    <mergeCell ref="C26:J26"/>
    <mergeCell ref="C27:J27"/>
    <mergeCell ref="B17:K17"/>
    <mergeCell ref="B19:G19"/>
    <mergeCell ref="I19:K19"/>
    <mergeCell ref="B20:G20"/>
    <mergeCell ref="I20:K20"/>
    <mergeCell ref="B22:K22"/>
    <mergeCell ref="C13:G13"/>
    <mergeCell ref="H13:K13"/>
    <mergeCell ref="M13:P13"/>
    <mergeCell ref="C14:G14"/>
    <mergeCell ref="H14:K14"/>
    <mergeCell ref="C15:G15"/>
    <mergeCell ref="H15:K15"/>
    <mergeCell ref="M15:Q15"/>
    <mergeCell ref="C8:G8"/>
    <mergeCell ref="H8:K8"/>
    <mergeCell ref="H9:K9"/>
    <mergeCell ref="B10:K10"/>
    <mergeCell ref="B11:K11"/>
    <mergeCell ref="C12:G12"/>
    <mergeCell ref="H12:K12"/>
    <mergeCell ref="B4:K4"/>
    <mergeCell ref="M4:Q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4" orientation="portrait" horizontalDpi="360" verticalDpi="360" r:id="rId1"/>
  <headerFooter>
    <oddHeader>&amp;L&amp;G&amp;R&amp;G</oddHeader>
  </headerFooter>
  <rowBreaks count="1" manualBreakCount="1">
    <brk id="83" min="1" max="10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B1:R152"/>
  <sheetViews>
    <sheetView view="pageBreakPreview" topLeftCell="A117" zoomScale="70" zoomScaleNormal="55" zoomScaleSheetLayoutView="70" workbookViewId="0">
      <selection activeCell="J115" sqref="J115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28.140625" style="236" customWidth="1"/>
    <col min="8" max="8" width="19.140625" style="236" customWidth="1"/>
    <col min="9" max="9" width="20.28515625" style="236" customWidth="1"/>
    <col min="10" max="10" width="11.140625" style="236" customWidth="1"/>
    <col min="11" max="11" width="17.5703125" style="236" customWidth="1"/>
    <col min="12" max="12" width="8.140625" style="2" bestFit="1" customWidth="1"/>
    <col min="13" max="13" width="37.28515625" style="503" customWidth="1"/>
    <col min="14" max="14" width="13.85546875" style="504" customWidth="1"/>
    <col min="15" max="15" width="18" style="504" bestFit="1" customWidth="1"/>
    <col min="16" max="16" width="21.42578125" style="504" customWidth="1"/>
    <col min="17" max="17" width="18.5703125" style="504" customWidth="1"/>
    <col min="18" max="18" width="9.5703125" style="2" bestFit="1" customWidth="1"/>
    <col min="19" max="16384" width="9.140625" style="2"/>
  </cols>
  <sheetData>
    <row r="1" spans="2:17" s="6" customFormat="1" ht="14.45" customHeight="1">
      <c r="B1" s="987" t="s">
        <v>308</v>
      </c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 t="str">
        <f>B1</f>
        <v>PREGÃO ELETRÔNICO Nº 02/2021 - PROCESSO: 10283-721.005/2021-37</v>
      </c>
      <c r="N1" s="988"/>
      <c r="O1" s="988"/>
      <c r="P1" s="988"/>
      <c r="Q1" s="988"/>
    </row>
    <row r="2" spans="2:17" s="6" customFormat="1" ht="12.75">
      <c r="B2" s="989" t="s">
        <v>139</v>
      </c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7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 t="s">
        <v>127</v>
      </c>
      <c r="K3" s="343" t="s">
        <v>309</v>
      </c>
      <c r="L3" s="5"/>
      <c r="M3" s="997"/>
      <c r="N3" s="997"/>
      <c r="O3" s="997"/>
      <c r="P3" s="997"/>
      <c r="Q3" s="997"/>
    </row>
    <row r="4" spans="2:17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7" s="6" customFormat="1" ht="17.25" customHeight="1">
      <c r="B5" s="1014" t="s">
        <v>310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7" s="6" customFormat="1" ht="12.75">
      <c r="B6" s="552" t="s">
        <v>128</v>
      </c>
      <c r="C6" s="313" t="s">
        <v>129</v>
      </c>
      <c r="D6" s="314"/>
      <c r="E6" s="314"/>
      <c r="F6" s="314"/>
      <c r="G6" s="314"/>
      <c r="H6" s="1015" t="str">
        <f>K3</f>
        <v>14/04/2021 - 10:00H</v>
      </c>
      <c r="I6" s="1015"/>
      <c r="J6" s="1015"/>
      <c r="K6" s="1015"/>
      <c r="L6" s="5"/>
      <c r="M6" s="591" t="s">
        <v>118</v>
      </c>
      <c r="N6" s="322">
        <v>4</v>
      </c>
      <c r="O6" s="510">
        <v>60</v>
      </c>
      <c r="P6" s="322">
        <v>12</v>
      </c>
      <c r="Q6" s="592">
        <f>(N6*O6)/P6</f>
        <v>20</v>
      </c>
    </row>
    <row r="7" spans="2:17" s="6" customFormat="1" ht="12.75">
      <c r="B7" s="552" t="s">
        <v>8</v>
      </c>
      <c r="C7" s="1001" t="s">
        <v>130</v>
      </c>
      <c r="D7" s="1002"/>
      <c r="E7" s="1002"/>
      <c r="F7" s="1002"/>
      <c r="G7" s="1003"/>
      <c r="H7" s="1015" t="s">
        <v>349</v>
      </c>
      <c r="I7" s="1015"/>
      <c r="J7" s="1015"/>
      <c r="K7" s="1015"/>
      <c r="L7" s="5"/>
      <c r="M7" s="591" t="s">
        <v>334</v>
      </c>
      <c r="N7" s="322">
        <v>4</v>
      </c>
      <c r="O7" s="510">
        <v>60</v>
      </c>
      <c r="P7" s="322">
        <v>12</v>
      </c>
      <c r="Q7" s="592">
        <f>(N7*O7)/P7</f>
        <v>20</v>
      </c>
    </row>
    <row r="8" spans="2:17" s="6" customFormat="1" ht="12.75">
      <c r="B8" s="552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75</v>
      </c>
      <c r="P8" s="322">
        <v>12</v>
      </c>
      <c r="Q8" s="592">
        <f>O8/P8</f>
        <v>6.25</v>
      </c>
    </row>
    <row r="9" spans="2:17" s="6" customFormat="1" ht="12.75">
      <c r="B9" s="552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10</v>
      </c>
      <c r="O9" s="510">
        <v>8</v>
      </c>
      <c r="P9" s="322">
        <v>12</v>
      </c>
      <c r="Q9" s="592">
        <f>O9/P9</f>
        <v>0.66666666666666663</v>
      </c>
    </row>
    <row r="10" spans="2:17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20</v>
      </c>
      <c r="P10" s="322">
        <v>12</v>
      </c>
      <c r="Q10" s="592">
        <f t="shared" ref="Q10:Q11" si="0">(N10*O10)/P10</f>
        <v>3.3333333333333335</v>
      </c>
    </row>
    <row r="11" spans="2:17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119</v>
      </c>
      <c r="N11" s="322">
        <v>2</v>
      </c>
      <c r="O11" s="510">
        <v>25</v>
      </c>
      <c r="P11" s="322">
        <v>12</v>
      </c>
      <c r="Q11" s="592">
        <f t="shared" si="0"/>
        <v>4.166666666666667</v>
      </c>
    </row>
    <row r="12" spans="2:17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12 horas diurnas 12x36 de segunda - feira a domingo</v>
      </c>
      <c r="I12" s="1010"/>
      <c r="J12" s="1010"/>
      <c r="K12" s="1010"/>
      <c r="L12" s="5"/>
      <c r="M12" s="591" t="s">
        <v>335</v>
      </c>
      <c r="N12" s="322">
        <v>2</v>
      </c>
      <c r="O12" s="510">
        <v>15</v>
      </c>
      <c r="P12" s="322">
        <v>12</v>
      </c>
      <c r="Q12" s="592">
        <f>(N12*O12)/P12</f>
        <v>2.5</v>
      </c>
    </row>
    <row r="13" spans="2:17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593">
        <f>Q6+Q7+Q8+Q9+Q10+Q11+Q12</f>
        <v>56.916666666666664</v>
      </c>
    </row>
    <row r="14" spans="2:17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7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43831</v>
      </c>
      <c r="I15" s="1024"/>
      <c r="J15" s="1024"/>
      <c r="K15" s="1024"/>
      <c r="L15" s="5"/>
      <c r="M15" s="986" t="s">
        <v>188</v>
      </c>
      <c r="N15" s="986"/>
      <c r="O15" s="986"/>
      <c r="P15" s="986"/>
      <c r="Q15" s="986"/>
    </row>
    <row r="16" spans="2:17" s="17" customFormat="1" ht="12.75">
      <c r="B16" s="291"/>
      <c r="C16" s="542"/>
      <c r="D16" s="539"/>
      <c r="E16" s="539"/>
      <c r="F16" s="539"/>
      <c r="G16" s="539"/>
      <c r="H16" s="539"/>
      <c r="I16" s="539"/>
      <c r="J16" s="539"/>
      <c r="K16" s="543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120</v>
      </c>
      <c r="N17" s="326">
        <v>1</v>
      </c>
      <c r="O17" s="515">
        <v>30</v>
      </c>
      <c r="P17" s="326">
        <v>12</v>
      </c>
      <c r="Q17" s="516">
        <f>(N17*O17)/P17</f>
        <v>2.5</v>
      </c>
    </row>
    <row r="18" spans="2:17" s="17" customFormat="1" ht="12.75">
      <c r="B18" s="291"/>
      <c r="C18" s="542"/>
      <c r="D18" s="539"/>
      <c r="E18" s="539"/>
      <c r="F18" s="539"/>
      <c r="G18" s="539"/>
      <c r="H18" s="539"/>
      <c r="I18" s="539"/>
      <c r="J18" s="542"/>
      <c r="K18" s="543"/>
      <c r="M18" s="327" t="s">
        <v>337</v>
      </c>
      <c r="N18" s="326">
        <v>1</v>
      </c>
      <c r="O18" s="515">
        <v>20</v>
      </c>
      <c r="P18" s="326">
        <v>12</v>
      </c>
      <c r="Q18" s="515">
        <f>N18*O18/P18</f>
        <v>1.6666666666666667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551" t="s">
        <v>26</v>
      </c>
      <c r="I19" s="1018" t="s">
        <v>336</v>
      </c>
      <c r="J19" s="1018"/>
      <c r="K19" s="1018"/>
      <c r="M19" s="328" t="s">
        <v>338</v>
      </c>
      <c r="N19" s="326">
        <v>2</v>
      </c>
      <c r="O19" s="515">
        <v>20</v>
      </c>
      <c r="P19" s="326">
        <v>12</v>
      </c>
      <c r="Q19" s="515">
        <f t="shared" ref="Q19" si="1">(N19*O19)/P19</f>
        <v>3.3333333333333335</v>
      </c>
    </row>
    <row r="20" spans="2:17" s="17" customFormat="1" ht="12.75">
      <c r="B20" s="1019" t="str">
        <f>H12</f>
        <v>Vigilância armada 12 horas diurnas 12x36 de segunda - feira a domingo</v>
      </c>
      <c r="C20" s="1020"/>
      <c r="D20" s="1020"/>
      <c r="E20" s="1020"/>
      <c r="F20" s="1020"/>
      <c r="G20" s="1020"/>
      <c r="H20" s="317" t="s">
        <v>94</v>
      </c>
      <c r="I20" s="1021">
        <v>2</v>
      </c>
      <c r="J20" s="1021"/>
      <c r="K20" s="1021"/>
      <c r="M20" s="328" t="s">
        <v>339</v>
      </c>
      <c r="N20" s="322">
        <v>1</v>
      </c>
      <c r="O20" s="510">
        <v>80</v>
      </c>
      <c r="P20" s="322">
        <v>60</v>
      </c>
      <c r="Q20" s="510">
        <f>(N20*O20)/P20</f>
        <v>1.3333333333333333</v>
      </c>
    </row>
    <row r="21" spans="2:17" s="17" customFormat="1" ht="12.75">
      <c r="B21" s="291"/>
      <c r="C21" s="542"/>
      <c r="D21" s="539"/>
      <c r="E21" s="539"/>
      <c r="F21" s="539"/>
      <c r="G21" s="539"/>
      <c r="H21" s="539"/>
      <c r="I21" s="539"/>
      <c r="J21" s="539"/>
      <c r="K21" s="543"/>
      <c r="M21" s="321" t="s">
        <v>340</v>
      </c>
      <c r="N21" s="322">
        <v>1</v>
      </c>
      <c r="O21" s="510">
        <v>600</v>
      </c>
      <c r="P21" s="322">
        <v>12</v>
      </c>
      <c r="Q21" s="510">
        <f>(N21*O21)/P21</f>
        <v>50</v>
      </c>
    </row>
    <row r="22" spans="2:17" s="17" customFormat="1" ht="12.7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341</v>
      </c>
      <c r="N22" s="322">
        <v>1</v>
      </c>
      <c r="O22" s="510">
        <v>80</v>
      </c>
      <c r="P22" s="322">
        <v>12</v>
      </c>
      <c r="Q22" s="510">
        <f t="shared" ref="Q22" si="2">(N22*O22)/P22</f>
        <v>6.666666666666667</v>
      </c>
    </row>
    <row r="23" spans="2:17" s="17" customFormat="1" ht="12.75">
      <c r="B23" s="291"/>
      <c r="C23" s="539"/>
      <c r="D23" s="539"/>
      <c r="E23" s="539"/>
      <c r="F23" s="539"/>
      <c r="G23" s="539"/>
      <c r="H23" s="539"/>
      <c r="I23" s="539"/>
      <c r="J23" s="539"/>
      <c r="K23" s="543"/>
      <c r="M23" s="986" t="s">
        <v>147</v>
      </c>
      <c r="N23" s="986"/>
      <c r="O23" s="986"/>
      <c r="P23" s="986"/>
      <c r="Q23" s="329">
        <f>Q17+Q18+Q19+Q20+Q21+Q22</f>
        <v>65.5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986" t="s">
        <v>188</v>
      </c>
      <c r="N25" s="986"/>
      <c r="O25" s="986"/>
      <c r="P25" s="986"/>
      <c r="Q25" s="986"/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323" t="s">
        <v>114</v>
      </c>
      <c r="N26" s="324" t="s">
        <v>115</v>
      </c>
      <c r="O26" s="324" t="s">
        <v>116</v>
      </c>
      <c r="P26" s="324" t="s">
        <v>117</v>
      </c>
      <c r="Q26" s="324" t="s">
        <v>97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  <c r="M27" s="328" t="s">
        <v>220</v>
      </c>
      <c r="N27" s="322">
        <v>1</v>
      </c>
      <c r="O27" s="510">
        <v>1500</v>
      </c>
      <c r="P27" s="326">
        <v>120</v>
      </c>
      <c r="Q27" s="516">
        <f>(N27*O27)/P27</f>
        <v>12.5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328" t="s">
        <v>343</v>
      </c>
      <c r="N28" s="322">
        <v>1</v>
      </c>
      <c r="O28" s="510">
        <v>50</v>
      </c>
      <c r="P28" s="326">
        <v>12</v>
      </c>
      <c r="Q28" s="515">
        <f>N28*O28/P28</f>
        <v>4.166666666666667</v>
      </c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8" t="s">
        <v>342</v>
      </c>
      <c r="N29" s="322">
        <v>8</v>
      </c>
      <c r="O29" s="510">
        <v>16</v>
      </c>
      <c r="P29" s="326">
        <v>60</v>
      </c>
      <c r="Q29" s="515">
        <f t="shared" ref="Q29:Q30" si="3">N29*O29/P29</f>
        <v>2.1333333333333333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344</v>
      </c>
      <c r="N30" s="322">
        <v>1</v>
      </c>
      <c r="O30" s="510">
        <v>120</v>
      </c>
      <c r="P30" s="326">
        <v>60</v>
      </c>
      <c r="Q30" s="515">
        <f t="shared" si="3"/>
        <v>2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986" t="s">
        <v>147</v>
      </c>
      <c r="N31" s="986"/>
      <c r="O31" s="986"/>
      <c r="P31" s="986"/>
      <c r="Q31" s="329">
        <f>Q27+Q28+Q29+Q30</f>
        <v>20.8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545" t="s">
        <v>3</v>
      </c>
      <c r="K32" s="545" t="s">
        <v>1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276">
        <f>K27</f>
        <v>1372.86</v>
      </c>
      <c r="L33" s="21"/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261">
        <v>0.3</v>
      </c>
      <c r="K34" s="276">
        <f>K33*J34</f>
        <v>411.85799999999995</v>
      </c>
      <c r="L34" s="21"/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0</v>
      </c>
      <c r="K35" s="276">
        <f>((K33+K34)/220)*0.2*J35</f>
        <v>0</v>
      </c>
      <c r="L35" s="22"/>
      <c r="R35" s="23"/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276">
        <f>J36*14.89</f>
        <v>0</v>
      </c>
      <c r="L36" s="22"/>
      <c r="R36" s="16"/>
    </row>
    <row r="37" spans="2:18" s="17" customFormat="1" ht="15" hidden="1" customHeight="1">
      <c r="B37" s="238"/>
      <c r="C37" s="243"/>
      <c r="D37" s="1027" t="s">
        <v>111</v>
      </c>
      <c r="E37" s="1027"/>
      <c r="F37" s="1027"/>
      <c r="G37" s="1027"/>
      <c r="H37" s="1027"/>
      <c r="I37" s="1027"/>
      <c r="J37" s="278">
        <v>0</v>
      </c>
      <c r="K37" s="276">
        <f>J37*15</f>
        <v>0</v>
      </c>
      <c r="L37" s="22"/>
      <c r="M37" s="503"/>
      <c r="N37" s="504"/>
      <c r="O37" s="504"/>
      <c r="P37" s="504"/>
      <c r="Q37" s="504"/>
    </row>
    <row r="38" spans="2:18" s="17" customFormat="1" ht="15" hidden="1" customHeight="1">
      <c r="B38" s="238"/>
      <c r="C38" s="545"/>
      <c r="D38" s="1027" t="s">
        <v>110</v>
      </c>
      <c r="E38" s="1027"/>
      <c r="F38" s="1027"/>
      <c r="G38" s="1027"/>
      <c r="H38" s="1027"/>
      <c r="I38" s="1027"/>
      <c r="J38" s="278">
        <v>0</v>
      </c>
      <c r="K38" s="276">
        <f>K37/6</f>
        <v>0</v>
      </c>
      <c r="L38" s="22"/>
      <c r="M38" s="503"/>
      <c r="N38" s="504"/>
      <c r="O38" s="504"/>
      <c r="P38" s="504"/>
      <c r="Q38" s="504"/>
    </row>
    <row r="39" spans="2:18" s="17" customFormat="1" ht="15" hidden="1" customHeight="1">
      <c r="B39" s="238"/>
      <c r="C39" s="545"/>
      <c r="D39" s="1027" t="s">
        <v>112</v>
      </c>
      <c r="E39" s="1027"/>
      <c r="F39" s="1027"/>
      <c r="G39" s="1027"/>
      <c r="H39" s="1027"/>
      <c r="I39" s="1027"/>
      <c r="J39" s="279">
        <v>0</v>
      </c>
      <c r="K39" s="276">
        <f>J39*J35</f>
        <v>0</v>
      </c>
      <c r="L39" s="22"/>
      <c r="M39" s="503"/>
      <c r="N39" s="504"/>
      <c r="O39" s="504"/>
      <c r="P39" s="504"/>
      <c r="Q39" s="504"/>
    </row>
    <row r="40" spans="2:18" s="17" customForma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>
        <f>(K35+K36)/6</f>
        <v>0</v>
      </c>
      <c r="L40" s="22"/>
      <c r="M40" s="503"/>
      <c r="N40" s="504"/>
      <c r="O40" s="504"/>
      <c r="P40" s="504"/>
      <c r="Q40" s="504"/>
    </row>
    <row r="41" spans="2:18" s="17" customForma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1784.7179999999998</v>
      </c>
      <c r="L41" s="22"/>
      <c r="M41" s="503"/>
      <c r="N41" s="504"/>
      <c r="O41" s="504"/>
      <c r="P41" s="504"/>
      <c r="Q41" s="504"/>
      <c r="R41" s="23"/>
    </row>
    <row r="42" spans="2:18" s="17" customForma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SUM(K41)</f>
        <v>1784.7179999999998</v>
      </c>
      <c r="L42" s="22"/>
      <c r="M42" s="503"/>
      <c r="N42" s="1035" t="s">
        <v>241</v>
      </c>
      <c r="O42" s="1035"/>
      <c r="P42" s="1035"/>
      <c r="Q42" s="1035"/>
    </row>
    <row r="43" spans="2:18" s="17" customFormat="1">
      <c r="B43" s="291"/>
      <c r="C43" s="547"/>
      <c r="D43" s="547"/>
      <c r="E43" s="547"/>
      <c r="F43" s="547"/>
      <c r="G43" s="547"/>
      <c r="H43" s="547"/>
      <c r="I43" s="547"/>
      <c r="J43" s="547"/>
      <c r="K43" s="293"/>
      <c r="L43" s="27"/>
      <c r="M43" s="503"/>
      <c r="N43" s="1101" t="s">
        <v>242</v>
      </c>
      <c r="O43" s="1101"/>
      <c r="P43" s="1101"/>
      <c r="Q43" s="1101"/>
    </row>
    <row r="44" spans="2:18" s="17" customFormat="1">
      <c r="B44" s="291"/>
      <c r="C44" s="547"/>
      <c r="D44" s="547"/>
      <c r="E44" s="547"/>
      <c r="F44" s="547"/>
      <c r="G44" s="547"/>
      <c r="H44" s="547"/>
      <c r="I44" s="547"/>
      <c r="J44" s="547"/>
      <c r="K44" s="294"/>
      <c r="L44" s="29"/>
      <c r="M44" s="503"/>
      <c r="N44" s="504"/>
      <c r="O44" s="504"/>
      <c r="P44" s="504"/>
      <c r="Q44" s="504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9"/>
      <c r="M45" s="503"/>
      <c r="N45" s="504"/>
      <c r="O45" s="504"/>
      <c r="P45" s="504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550" t="s">
        <v>3</v>
      </c>
      <c r="K46" s="550" t="s">
        <v>1</v>
      </c>
      <c r="L46" s="29"/>
      <c r="M46" s="503"/>
      <c r="N46" s="504"/>
      <c r="O46" s="504"/>
      <c r="P46" s="504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8.3299999999999999E-2</v>
      </c>
      <c r="K47" s="274">
        <f>$K$41*J47</f>
        <v>148.66700939999998</v>
      </c>
      <c r="L47" s="29"/>
      <c r="M47" s="503"/>
      <c r="N47" s="504"/>
      <c r="O47" s="504"/>
      <c r="P47" s="504"/>
      <c r="Q47" s="504"/>
    </row>
    <row r="48" spans="2:18" s="17" customFormat="1">
      <c r="B48" s="238" t="s">
        <v>8</v>
      </c>
      <c r="C48" s="1027" t="s">
        <v>172</v>
      </c>
      <c r="D48" s="1027"/>
      <c r="E48" s="1027"/>
      <c r="F48" s="1027"/>
      <c r="G48" s="1027"/>
      <c r="H48" s="1027"/>
      <c r="I48" s="1027"/>
      <c r="J48" s="411">
        <v>0.1111</v>
      </c>
      <c r="K48" s="274">
        <f>J48*K41</f>
        <v>198.28216979999999</v>
      </c>
      <c r="L48" s="29"/>
      <c r="M48" s="503"/>
      <c r="N48" s="504"/>
      <c r="O48" s="504"/>
      <c r="P48" s="504"/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0.19440000000000002</v>
      </c>
      <c r="K49" s="521">
        <f>SUM(K47:K48)</f>
        <v>346.9491792</v>
      </c>
      <c r="L49" s="29"/>
      <c r="M49" s="503"/>
      <c r="N49" s="504"/>
      <c r="O49" s="504"/>
      <c r="P49" s="504"/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503"/>
      <c r="N50" s="504"/>
      <c r="O50" s="504"/>
      <c r="P50" s="504"/>
      <c r="Q50" s="504"/>
    </row>
    <row r="51" spans="2:17" s="17" customFormat="1">
      <c r="B51" s="1030" t="s">
        <v>48</v>
      </c>
      <c r="C51" s="1030"/>
      <c r="D51" s="1030"/>
      <c r="E51" s="1030"/>
      <c r="F51" s="1030"/>
      <c r="G51" s="1030"/>
      <c r="H51" s="1030"/>
      <c r="I51" s="1030"/>
      <c r="J51" s="544" t="s">
        <v>3</v>
      </c>
      <c r="K51" s="544" t="s">
        <v>1</v>
      </c>
      <c r="L51" s="29"/>
      <c r="M51" s="503"/>
      <c r="N51" s="504"/>
      <c r="O51" s="504"/>
      <c r="P51" s="504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J52*$K$42</f>
        <v>356.9436</v>
      </c>
      <c r="L52" s="29"/>
      <c r="M52" s="1102" t="s">
        <v>313</v>
      </c>
      <c r="N52" s="1103"/>
      <c r="O52" s="568"/>
      <c r="P52" s="568"/>
      <c r="Q52" s="504"/>
    </row>
    <row r="53" spans="2:17" s="17" customFormat="1" ht="14.25" customHeigh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J53*$K$42</f>
        <v>44.61795</v>
      </c>
      <c r="L53" s="29"/>
      <c r="M53" s="1104"/>
      <c r="N53" s="1105"/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1.4999999999999999E-2</v>
      </c>
      <c r="K54" s="273">
        <f t="shared" si="4"/>
        <v>26.770769999999995</v>
      </c>
      <c r="L54" s="29"/>
      <c r="M54" s="569" t="s">
        <v>314</v>
      </c>
      <c r="N54" s="570">
        <v>25.5</v>
      </c>
      <c r="O54" s="568"/>
      <c r="P54" s="568"/>
      <c r="Q54" s="504"/>
    </row>
    <row r="55" spans="2:17" s="17" customFormat="1" ht="14.25" customHeigh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26.770769999999995</v>
      </c>
      <c r="L55" s="29"/>
      <c r="M55" s="569" t="s">
        <v>315</v>
      </c>
      <c r="N55" s="571">
        <v>15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17.847179999999998</v>
      </c>
      <c r="L56" s="29"/>
      <c r="M56" s="569" t="s">
        <v>316</v>
      </c>
      <c r="N56" s="570">
        <f>N54*N55</f>
        <v>382.5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10.708307999999999</v>
      </c>
      <c r="L57" s="29"/>
      <c r="M57" s="569" t="s">
        <v>317</v>
      </c>
      <c r="N57" s="570">
        <f>N56*5%</f>
        <v>19.125</v>
      </c>
      <c r="O57" s="572" t="s">
        <v>318</v>
      </c>
      <c r="P57" s="585" t="s">
        <v>316</v>
      </c>
      <c r="Q57" s="504"/>
    </row>
    <row r="58" spans="2:17" s="17" customForma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3.5694359999999996</v>
      </c>
      <c r="L58" s="29"/>
      <c r="M58" s="573" t="s">
        <v>319</v>
      </c>
      <c r="N58" s="574">
        <f>N56-N57</f>
        <v>363.375</v>
      </c>
      <c r="O58" s="575">
        <v>1</v>
      </c>
      <c r="P58" s="584">
        <f>O58*N58</f>
        <v>363.375</v>
      </c>
      <c r="Q58" s="504"/>
    </row>
    <row r="59" spans="2:17" s="17" customForma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142.77743999999998</v>
      </c>
      <c r="L59" s="29"/>
      <c r="M59" s="1066" t="s">
        <v>320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0.35300000000000004</v>
      </c>
      <c r="K60" s="521">
        <f>TRUNC(SUM(K52:K59),2)</f>
        <v>630</v>
      </c>
      <c r="L60" s="29"/>
      <c r="M60" s="576"/>
      <c r="N60" s="576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36" t="s">
        <v>321</v>
      </c>
      <c r="N61" s="1036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567" t="s">
        <v>1</v>
      </c>
      <c r="L62" s="29"/>
      <c r="M62" s="569" t="s">
        <v>322</v>
      </c>
      <c r="N62" s="577">
        <v>4</v>
      </c>
      <c r="O62" s="568"/>
      <c r="P62" s="568"/>
      <c r="Q62" s="504"/>
    </row>
    <row r="63" spans="2:17" s="17" customFormat="1" ht="13.5" customHeight="1">
      <c r="B63" s="548" t="s">
        <v>7</v>
      </c>
      <c r="C63" s="1091" t="s">
        <v>113</v>
      </c>
      <c r="D63" s="1092"/>
      <c r="E63" s="1092"/>
      <c r="F63" s="1092"/>
      <c r="G63" s="1092"/>
      <c r="H63" s="1092"/>
      <c r="I63" s="1092"/>
      <c r="J63" s="1093"/>
      <c r="K63" s="549">
        <f>P67</f>
        <v>37.628400000000013</v>
      </c>
      <c r="L63" s="29"/>
      <c r="M63" s="569" t="s">
        <v>323</v>
      </c>
      <c r="N63" s="577">
        <v>2</v>
      </c>
      <c r="O63" s="568"/>
      <c r="P63" s="568"/>
      <c r="Q63" s="504"/>
    </row>
    <row r="64" spans="2:17" s="17" customFormat="1" ht="13.5" customHeight="1">
      <c r="B64" s="548" t="s">
        <v>8</v>
      </c>
      <c r="C64" s="1091" t="s">
        <v>173</v>
      </c>
      <c r="D64" s="1092"/>
      <c r="E64" s="1092"/>
      <c r="F64" s="1092"/>
      <c r="G64" s="1092"/>
      <c r="H64" s="1092"/>
      <c r="I64" s="1092"/>
      <c r="J64" s="1093"/>
      <c r="K64" s="271">
        <f>P58</f>
        <v>363.375</v>
      </c>
      <c r="L64" s="27"/>
      <c r="M64" s="569" t="s">
        <v>324</v>
      </c>
      <c r="N64" s="571">
        <v>15</v>
      </c>
      <c r="O64" s="568"/>
      <c r="P64" s="568"/>
      <c r="Q64" s="504"/>
    </row>
    <row r="65" spans="2:17" s="17" customFormat="1" ht="13.5" customHeight="1">
      <c r="B65" s="548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95"/>
      <c r="K65" s="271">
        <f>N74</f>
        <v>108.23</v>
      </c>
      <c r="L65" s="27"/>
      <c r="M65" s="569" t="s">
        <v>325</v>
      </c>
      <c r="N65" s="577">
        <f>(N62*N63)*N64</f>
        <v>120</v>
      </c>
      <c r="O65" s="568"/>
      <c r="P65" s="568"/>
      <c r="Q65" s="504"/>
    </row>
    <row r="66" spans="2:17" s="17" customFormat="1" ht="14.25" customHeight="1">
      <c r="B66" s="548" t="s">
        <v>10</v>
      </c>
      <c r="C66" s="563" t="s">
        <v>291</v>
      </c>
      <c r="D66" s="564"/>
      <c r="E66" s="565"/>
      <c r="F66" s="565"/>
      <c r="G66" s="565"/>
      <c r="H66" s="565"/>
      <c r="I66" s="565"/>
      <c r="J66" s="566"/>
      <c r="K66" s="271"/>
      <c r="L66" s="27"/>
      <c r="M66" s="569" t="s">
        <v>326</v>
      </c>
      <c r="N66" s="577">
        <f>K33*6%</f>
        <v>82.371599999999987</v>
      </c>
      <c r="O66" s="572" t="s">
        <v>318</v>
      </c>
      <c r="P66" s="585" t="s">
        <v>316</v>
      </c>
      <c r="Q66" s="504"/>
    </row>
    <row r="67" spans="2:17" s="17" customForma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SUM(K63:K65)</f>
        <v>509.23340000000002</v>
      </c>
      <c r="L67" s="29"/>
      <c r="M67" s="573" t="s">
        <v>319</v>
      </c>
      <c r="N67" s="578">
        <f>N65-N66</f>
        <v>37.628400000000013</v>
      </c>
      <c r="O67" s="575">
        <v>1</v>
      </c>
      <c r="P67" s="584">
        <f>O67*N67</f>
        <v>37.628400000000013</v>
      </c>
      <c r="Q67" s="504"/>
    </row>
    <row r="68" spans="2:17" s="17" customForma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9"/>
      <c r="M68" s="1066" t="s">
        <v>327</v>
      </c>
      <c r="N68" s="1066"/>
      <c r="O68" s="568"/>
      <c r="P68" s="568"/>
      <c r="Q68" s="504"/>
    </row>
    <row r="69" spans="2:17" s="17" customFormat="1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9"/>
      <c r="M69" s="568"/>
      <c r="N69" s="568"/>
      <c r="O69" s="568"/>
      <c r="P69" s="568"/>
      <c r="Q69" s="504"/>
    </row>
    <row r="70" spans="2:17" s="17" customFormat="1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544" t="s">
        <v>1</v>
      </c>
      <c r="L70" s="29"/>
      <c r="M70" s="1067" t="s">
        <v>328</v>
      </c>
      <c r="N70" s="1067"/>
      <c r="O70" s="568"/>
      <c r="P70" s="568"/>
      <c r="Q70" s="504"/>
    </row>
    <row r="71" spans="2:17" s="17" customFormat="1">
      <c r="B71" s="540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346.9491792</v>
      </c>
      <c r="L71" s="29"/>
      <c r="M71" s="569" t="s">
        <v>329</v>
      </c>
      <c r="N71" s="579">
        <v>109.23</v>
      </c>
      <c r="O71" s="568"/>
      <c r="P71" s="568"/>
      <c r="Q71" s="504"/>
    </row>
    <row r="72" spans="2:17" s="17" customFormat="1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630</v>
      </c>
      <c r="L72" s="29"/>
      <c r="M72" s="569" t="s">
        <v>330</v>
      </c>
      <c r="N72" s="579">
        <v>1</v>
      </c>
      <c r="O72" s="568"/>
      <c r="P72" s="568"/>
      <c r="Q72" s="504"/>
    </row>
    <row r="73" spans="2:17" s="17" customFormat="1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509.23340000000002</v>
      </c>
      <c r="L73" s="29"/>
      <c r="M73" s="569" t="s">
        <v>331</v>
      </c>
      <c r="N73" s="580">
        <v>1</v>
      </c>
      <c r="O73" s="568"/>
      <c r="P73" s="568"/>
      <c r="Q73" s="504"/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1486.18</v>
      </c>
      <c r="L74" s="29"/>
      <c r="M74" s="581" t="s">
        <v>332</v>
      </c>
      <c r="N74" s="583">
        <f>(N71-N72)*N73</f>
        <v>108.23</v>
      </c>
      <c r="O74" s="582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1066" t="s">
        <v>333</v>
      </c>
      <c r="N75" s="1066"/>
      <c r="O75" s="582"/>
      <c r="P75" s="568"/>
      <c r="Q75" s="504"/>
    </row>
    <row r="76" spans="2:17" s="17" customFormat="1">
      <c r="B76" s="545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545" t="s">
        <v>3</v>
      </c>
      <c r="K76" s="545" t="s">
        <v>1</v>
      </c>
      <c r="L76" s="29"/>
      <c r="M76" s="503"/>
      <c r="N76" s="504"/>
      <c r="O76" s="504"/>
      <c r="P76" s="504"/>
      <c r="Q76" s="504"/>
    </row>
    <row r="77" spans="2:17" s="17" customFormat="1">
      <c r="B77" s="545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416">
        <v>4.4999999999999997E-3</v>
      </c>
      <c r="K77" s="246">
        <f>K42*J77</f>
        <v>8.0312309999999982</v>
      </c>
      <c r="L77" s="29"/>
      <c r="M77" s="503"/>
      <c r="N77" s="504"/>
      <c r="O77" s="504"/>
      <c r="P77" s="504"/>
      <c r="Q77" s="504"/>
    </row>
    <row r="78" spans="2:17" s="17" customFormat="1">
      <c r="B78" s="545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3.5999999999999997E-4</v>
      </c>
      <c r="K78" s="242">
        <f>J78*K42</f>
        <v>0.64249847999999987</v>
      </c>
      <c r="L78" s="29"/>
      <c r="M78" s="503"/>
      <c r="N78" s="504"/>
      <c r="O78" s="504"/>
      <c r="P78" s="504"/>
      <c r="Q78" s="504"/>
    </row>
    <row r="79" spans="2:17" s="17" customFormat="1">
      <c r="B79" s="545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0.02</v>
      </c>
      <c r="K79" s="242">
        <f>J79*K41</f>
        <v>35.694359999999996</v>
      </c>
      <c r="L79" s="29"/>
      <c r="M79" s="503"/>
      <c r="N79" s="504"/>
      <c r="O79" s="504"/>
      <c r="P79" s="504"/>
      <c r="Q79" s="504"/>
    </row>
    <row r="80" spans="2:17" s="17" customFormat="1">
      <c r="B80" s="545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J80*K41</f>
        <v>34.702849999999998</v>
      </c>
      <c r="L80" s="29"/>
      <c r="M80" s="503"/>
      <c r="N80" s="504"/>
      <c r="O80" s="504"/>
      <c r="P80" s="504"/>
      <c r="Q80" s="504"/>
    </row>
    <row r="81" spans="2:17" s="17" customFormat="1">
      <c r="B81" s="545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6.8638888888888899E-3</v>
      </c>
      <c r="K81" s="242">
        <f>J81*K41</f>
        <v>12.250106050000001</v>
      </c>
      <c r="L81" s="29"/>
      <c r="M81" s="503"/>
      <c r="N81" s="504"/>
      <c r="O81" s="504"/>
      <c r="P81" s="504"/>
      <c r="Q81" s="504"/>
    </row>
    <row r="82" spans="2:17" s="17" customFormat="1">
      <c r="B82" s="545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0.02</v>
      </c>
      <c r="K82" s="242">
        <f>J82*K41</f>
        <v>35.694359999999996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7.1168333333333333E-2</v>
      </c>
      <c r="K83" s="260">
        <f>TRUNC(SUM(K77:K82),2)</f>
        <v>127.01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545" t="s">
        <v>3</v>
      </c>
      <c r="K86" s="545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545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f>1/12</f>
        <v>8.3333333333333329E-2</v>
      </c>
      <c r="K87" s="242">
        <f>$K$41*J87</f>
        <v>148.72649999999999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6">
        <f t="shared" ref="K88:K92" si="5">$K$41*J88</f>
        <v>8.0312309999999982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2.0000000000000001E-4</v>
      </c>
      <c r="K89" s="246">
        <f t="shared" si="5"/>
        <v>0.35694359999999997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2.9999999999999997E-4</v>
      </c>
      <c r="K90" s="246">
        <f t="shared" si="5"/>
        <v>0.53541539999999987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0</v>
      </c>
      <c r="K91" s="246">
        <f t="shared" si="5"/>
        <v>0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6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8.8333333333333333E-2</v>
      </c>
      <c r="K93" s="260">
        <f>SUM(K87:K92)</f>
        <v>157.65008999999998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544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545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f>((K33+K34)/192)*1.5*15</f>
        <v>209.14664062499997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209.14664062499997</v>
      </c>
      <c r="L97" s="29"/>
      <c r="M97" s="503"/>
      <c r="N97" s="504"/>
      <c r="O97" s="504"/>
      <c r="P97" s="504"/>
      <c r="Q97" s="504"/>
    </row>
    <row r="98" spans="2:17" s="17" customFormat="1">
      <c r="B98" s="541"/>
      <c r="C98" s="542"/>
      <c r="D98" s="542"/>
      <c r="E98" s="542"/>
      <c r="F98" s="542"/>
      <c r="G98" s="542"/>
      <c r="H98" s="542"/>
      <c r="I98" s="542"/>
      <c r="J98" s="542"/>
      <c r="K98" s="543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544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545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157.65008999999998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209.14664062499997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366.79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0.70690166666666665</v>
      </c>
      <c r="K104" s="520">
        <f>K93+K83+K60+K49</f>
        <v>1261.6092692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544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544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545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56.916666666666664</v>
      </c>
      <c r="L108" s="29"/>
      <c r="M108" s="503"/>
      <c r="N108" s="504"/>
      <c r="O108" s="504"/>
      <c r="P108" s="504"/>
      <c r="Q108" s="504"/>
    </row>
    <row r="109" spans="2:17" s="17" customFormat="1">
      <c r="B109" s="545" t="s">
        <v>8</v>
      </c>
      <c r="C109" s="1038" t="s">
        <v>345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Q23</f>
        <v>65.5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346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Q31</f>
        <v>20.8</v>
      </c>
      <c r="L110" s="29"/>
      <c r="M110" s="503"/>
      <c r="N110" s="504"/>
      <c r="O110" s="504"/>
      <c r="P110" s="504"/>
      <c r="Q110" s="504"/>
    </row>
    <row r="111" spans="2:17" s="17" customFormat="1">
      <c r="B111" s="1083" t="s">
        <v>70</v>
      </c>
      <c r="C111" s="1083"/>
      <c r="D111" s="1083"/>
      <c r="E111" s="1083"/>
      <c r="F111" s="1083"/>
      <c r="G111" s="1083"/>
      <c r="H111" s="1083"/>
      <c r="I111" s="1083"/>
      <c r="J111" s="419" t="s">
        <v>0</v>
      </c>
      <c r="K111" s="415">
        <f>TRUNC(SUM(K108:K110),2)</f>
        <v>143.21</v>
      </c>
      <c r="L111" s="29"/>
      <c r="M111" s="503"/>
      <c r="N111" s="504"/>
      <c r="O111" s="504"/>
      <c r="P111" s="504"/>
      <c r="Q111" s="504"/>
    </row>
    <row r="112" spans="2:17" s="17" customFormat="1">
      <c r="B112" s="1084" t="s">
        <v>71</v>
      </c>
      <c r="C112" s="1084"/>
      <c r="D112" s="1084"/>
      <c r="E112" s="1084"/>
      <c r="F112" s="1084"/>
      <c r="G112" s="1084"/>
      <c r="H112" s="1084"/>
      <c r="I112" s="1084"/>
      <c r="J112" s="1084"/>
      <c r="K112" s="1084"/>
      <c r="L112" s="29"/>
      <c r="M112" s="503"/>
      <c r="N112" s="504"/>
      <c r="O112" s="504"/>
      <c r="P112" s="504"/>
      <c r="Q112" s="504"/>
    </row>
    <row r="113" spans="2:18" s="17" customFormat="1">
      <c r="B113" s="545">
        <v>6</v>
      </c>
      <c r="C113" s="1085" t="s">
        <v>18</v>
      </c>
      <c r="D113" s="1085"/>
      <c r="E113" s="1085"/>
      <c r="F113" s="1085"/>
      <c r="G113" s="1085"/>
      <c r="H113" s="1085"/>
      <c r="I113" s="1085"/>
      <c r="J113" s="545" t="s">
        <v>3</v>
      </c>
      <c r="K113" s="545" t="s">
        <v>1</v>
      </c>
      <c r="L113" s="29"/>
      <c r="M113" s="503"/>
      <c r="N113" s="504"/>
      <c r="O113" s="504"/>
      <c r="P113" s="504"/>
      <c r="Q113" s="504"/>
    </row>
    <row r="114" spans="2:18" s="17" customFormat="1">
      <c r="B114" s="545" t="s">
        <v>7</v>
      </c>
      <c r="C114" s="1044" t="s">
        <v>21</v>
      </c>
      <c r="D114" s="1044"/>
      <c r="E114" s="1044"/>
      <c r="F114" s="1044"/>
      <c r="G114" s="1044"/>
      <c r="H114" s="1044"/>
      <c r="I114" s="1044"/>
      <c r="J114" s="411">
        <v>0.1</v>
      </c>
      <c r="K114" s="355">
        <f>TRUNC(J114*K139,2)</f>
        <v>390.79</v>
      </c>
      <c r="L114" s="29"/>
      <c r="M114" s="503"/>
      <c r="N114" s="504"/>
      <c r="O114" s="504"/>
      <c r="P114" s="504"/>
      <c r="Q114" s="504"/>
      <c r="R114" s="128"/>
    </row>
    <row r="115" spans="2:18" s="17" customFormat="1">
      <c r="B115" s="243" t="s">
        <v>8</v>
      </c>
      <c r="C115" s="1044" t="s">
        <v>4</v>
      </c>
      <c r="D115" s="1044"/>
      <c r="E115" s="1044"/>
      <c r="F115" s="1044"/>
      <c r="G115" s="1044"/>
      <c r="H115" s="1044"/>
      <c r="I115" s="1044"/>
      <c r="J115" s="411">
        <v>9.6582000000000001E-2</v>
      </c>
      <c r="K115" s="355">
        <f>TRUNC(J115*(K114+K139),2)</f>
        <v>415.17</v>
      </c>
      <c r="M115" s="503"/>
      <c r="N115" s="504"/>
      <c r="O115" s="504"/>
      <c r="P115" s="504"/>
      <c r="Q115" s="504"/>
    </row>
    <row r="116" spans="2:18" s="17" customFormat="1">
      <c r="B116" s="534" t="s">
        <v>9</v>
      </c>
      <c r="C116" s="1086" t="s">
        <v>28</v>
      </c>
      <c r="D116" s="1087"/>
      <c r="E116" s="1087"/>
      <c r="F116" s="1087"/>
      <c r="G116" s="1087"/>
      <c r="H116" s="1087"/>
      <c r="I116" s="1087"/>
      <c r="J116" s="1088"/>
      <c r="K116" s="1089"/>
      <c r="L116" s="25"/>
      <c r="M116" s="503"/>
      <c r="N116" s="504"/>
      <c r="O116" s="504"/>
      <c r="P116" s="504"/>
      <c r="Q116" s="504"/>
    </row>
    <row r="117" spans="2:18" s="17" customFormat="1">
      <c r="B117" s="243" t="s">
        <v>29</v>
      </c>
      <c r="C117" s="1044" t="s">
        <v>82</v>
      </c>
      <c r="D117" s="1044"/>
      <c r="E117" s="1044"/>
      <c r="F117" s="1044"/>
      <c r="G117" s="1044"/>
      <c r="H117" s="1044"/>
      <c r="I117" s="1044"/>
      <c r="J117" s="245">
        <v>6.4999999999999997E-3</v>
      </c>
      <c r="K117" s="426">
        <f>TRUNC(J117*K128,2)</f>
        <v>33.54</v>
      </c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77</v>
      </c>
      <c r="D118" s="1044"/>
      <c r="E118" s="1044"/>
      <c r="F118" s="1044"/>
      <c r="G118" s="1044"/>
      <c r="H118" s="1044"/>
      <c r="I118" s="1044"/>
      <c r="J118" s="245">
        <v>0.03</v>
      </c>
      <c r="K118" s="426">
        <f>TRUNC(J118*K128,2)</f>
        <v>154.80000000000001</v>
      </c>
      <c r="L118" s="25">
        <f>K143</f>
        <v>10320.439770114943</v>
      </c>
      <c r="M118" s="503"/>
      <c r="N118" s="504"/>
      <c r="O118" s="504"/>
      <c r="P118" s="504"/>
      <c r="Q118" s="504"/>
    </row>
    <row r="119" spans="2:18" s="17" customFormat="1">
      <c r="B119" s="243" t="s">
        <v>30</v>
      </c>
      <c r="C119" s="1044" t="s">
        <v>80</v>
      </c>
      <c r="D119" s="1044"/>
      <c r="E119" s="1044"/>
      <c r="F119" s="1044"/>
      <c r="G119" s="1044"/>
      <c r="H119" s="1044"/>
      <c r="I119" s="1044"/>
      <c r="J119" s="247" t="s">
        <v>79</v>
      </c>
      <c r="K119" s="426">
        <v>0</v>
      </c>
      <c r="M119" s="503"/>
      <c r="N119" s="504"/>
      <c r="O119" s="504"/>
      <c r="P119" s="504"/>
      <c r="Q119" s="504"/>
    </row>
    <row r="120" spans="2:18" s="17" customFormat="1">
      <c r="B120" s="243" t="s">
        <v>31</v>
      </c>
      <c r="C120" s="1044" t="s">
        <v>78</v>
      </c>
      <c r="D120" s="1044"/>
      <c r="E120" s="1044"/>
      <c r="F120" s="1044"/>
      <c r="G120" s="1044"/>
      <c r="H120" s="1044"/>
      <c r="I120" s="1044"/>
      <c r="J120" s="245">
        <v>0.05</v>
      </c>
      <c r="K120" s="426">
        <f>TRUNC(J120*K128,2)</f>
        <v>258.01</v>
      </c>
      <c r="M120" s="503"/>
      <c r="N120" s="504"/>
      <c r="O120" s="504"/>
      <c r="P120" s="504"/>
      <c r="Q120" s="504"/>
    </row>
    <row r="121" spans="2:18" s="17" customFormat="1">
      <c r="B121" s="1080" t="s">
        <v>72</v>
      </c>
      <c r="C121" s="1080"/>
      <c r="D121" s="1080"/>
      <c r="E121" s="1080"/>
      <c r="F121" s="1080"/>
      <c r="G121" s="1080"/>
      <c r="H121" s="1080"/>
      <c r="I121" s="1080"/>
      <c r="J121" s="420">
        <f>SUM(J114:J120)</f>
        <v>0.283082</v>
      </c>
      <c r="K121" s="523">
        <f>TRUNC(SUM(K114:K120),2)</f>
        <v>1252.31</v>
      </c>
      <c r="M121" s="503"/>
      <c r="N121" s="504"/>
      <c r="O121" s="504"/>
      <c r="P121" s="504"/>
      <c r="Q121" s="504"/>
      <c r="R121" s="127"/>
    </row>
    <row r="122" spans="2:18" s="17" customFormat="1">
      <c r="B122" s="291"/>
      <c r="C122" s="542"/>
      <c r="D122" s="1081"/>
      <c r="E122" s="1081"/>
      <c r="F122" s="1081"/>
      <c r="G122" s="1081"/>
      <c r="H122" s="1081"/>
      <c r="I122" s="1081"/>
      <c r="J122" s="1081"/>
      <c r="K122" s="1082"/>
      <c r="M122" s="503"/>
      <c r="N122" s="504"/>
      <c r="O122" s="504"/>
      <c r="P122" s="504"/>
      <c r="Q122" s="504"/>
    </row>
    <row r="123" spans="2:18" s="17" customFormat="1">
      <c r="B123" s="300" t="s">
        <v>32</v>
      </c>
      <c r="C123" s="301"/>
      <c r="D123" s="1071" t="s">
        <v>33</v>
      </c>
      <c r="E123" s="1071"/>
      <c r="F123" s="1071"/>
      <c r="G123" s="1071"/>
      <c r="H123" s="1071"/>
      <c r="I123" s="1072"/>
      <c r="J123" s="1073">
        <f>TRUNC(J117+J118+J120,4)</f>
        <v>8.6499999999999994E-2</v>
      </c>
      <c r="K123" s="1074"/>
      <c r="M123" s="503"/>
      <c r="N123" s="504"/>
      <c r="O123" s="504"/>
      <c r="P123" s="504"/>
      <c r="Q123" s="504"/>
    </row>
    <row r="124" spans="2:18" s="17" customFormat="1">
      <c r="B124" s="233"/>
      <c r="C124" s="302"/>
      <c r="D124" s="1077">
        <v>100</v>
      </c>
      <c r="E124" s="1078"/>
      <c r="F124" s="1078"/>
      <c r="G124" s="1078"/>
      <c r="H124" s="1078"/>
      <c r="I124" s="1079"/>
      <c r="J124" s="1075"/>
      <c r="K124" s="1076"/>
      <c r="M124" s="503"/>
      <c r="N124" s="504"/>
      <c r="O124" s="504"/>
      <c r="P124" s="504"/>
      <c r="Q124" s="504"/>
    </row>
    <row r="125" spans="2:18" s="17" customFormat="1">
      <c r="B125" s="311"/>
      <c r="C125" s="310"/>
      <c r="D125" s="535"/>
      <c r="E125" s="535"/>
      <c r="F125" s="535"/>
      <c r="G125" s="535"/>
      <c r="H125" s="535"/>
      <c r="I125" s="536"/>
      <c r="J125" s="537"/>
      <c r="K125" s="413"/>
      <c r="M125" s="503"/>
      <c r="N125" s="504"/>
      <c r="O125" s="504"/>
      <c r="P125" s="504"/>
      <c r="Q125" s="504"/>
    </row>
    <row r="126" spans="2:18" s="17" customFormat="1">
      <c r="B126" s="233" t="s">
        <v>34</v>
      </c>
      <c r="C126" s="302"/>
      <c r="D126" s="1078" t="s">
        <v>73</v>
      </c>
      <c r="E126" s="1078"/>
      <c r="F126" s="1078"/>
      <c r="G126" s="1078"/>
      <c r="H126" s="1078"/>
      <c r="I126" s="1079"/>
      <c r="J126" s="538"/>
      <c r="K126" s="429">
        <f>TRUNC(K139+K114+K115,2)</f>
        <v>4713.87</v>
      </c>
      <c r="M126" s="503"/>
      <c r="N126" s="504"/>
      <c r="O126" s="504"/>
      <c r="P126" s="504"/>
      <c r="Q126" s="504"/>
    </row>
    <row r="127" spans="2:18" s="17" customFormat="1">
      <c r="B127" s="300"/>
      <c r="C127" s="301"/>
      <c r="D127" s="535"/>
      <c r="E127" s="535"/>
      <c r="F127" s="535"/>
      <c r="G127" s="535"/>
      <c r="H127" s="535"/>
      <c r="I127" s="536"/>
      <c r="J127" s="537"/>
      <c r="K127" s="414"/>
      <c r="M127" s="503"/>
      <c r="N127" s="504"/>
      <c r="O127" s="504"/>
      <c r="P127" s="504"/>
      <c r="Q127" s="504"/>
    </row>
    <row r="128" spans="2:18" s="17" customFormat="1">
      <c r="B128" s="233" t="s">
        <v>35</v>
      </c>
      <c r="C128" s="302"/>
      <c r="D128" s="1078" t="s">
        <v>36</v>
      </c>
      <c r="E128" s="1078"/>
      <c r="F128" s="1078"/>
      <c r="G128" s="1078"/>
      <c r="H128" s="1078"/>
      <c r="I128" s="1079"/>
      <c r="J128" s="538"/>
      <c r="K128" s="429">
        <f>K126/(1-J123)</f>
        <v>5160.2298850574716</v>
      </c>
      <c r="M128" s="503"/>
      <c r="N128" s="504"/>
      <c r="O128" s="504"/>
      <c r="P128" s="504"/>
      <c r="Q128" s="504"/>
    </row>
    <row r="129" spans="2:17" s="17" customFormat="1">
      <c r="B129" s="546"/>
      <c r="C129" s="301"/>
      <c r="D129" s="535"/>
      <c r="E129" s="535"/>
      <c r="F129" s="535"/>
      <c r="G129" s="535"/>
      <c r="H129" s="535"/>
      <c r="I129" s="536"/>
      <c r="J129" s="537"/>
      <c r="K129" s="414"/>
      <c r="M129" s="503"/>
      <c r="N129" s="504"/>
      <c r="O129" s="504"/>
      <c r="P129" s="504"/>
      <c r="Q129" s="504"/>
    </row>
    <row r="130" spans="2:17" s="17" customFormat="1">
      <c r="B130" s="291"/>
      <c r="C130" s="302"/>
      <c r="D130" s="1078" t="s">
        <v>37</v>
      </c>
      <c r="E130" s="1078"/>
      <c r="F130" s="1078"/>
      <c r="G130" s="1078"/>
      <c r="H130" s="1078"/>
      <c r="I130" s="1079"/>
      <c r="J130" s="538"/>
      <c r="K130" s="429">
        <f>TRUNC(K128-K126,2)</f>
        <v>446.35</v>
      </c>
      <c r="M130" s="503"/>
      <c r="N130" s="504"/>
      <c r="O130" s="504"/>
      <c r="P130" s="504"/>
      <c r="Q130" s="504"/>
    </row>
    <row r="131" spans="2:17" s="17" customFormat="1">
      <c r="B131" s="291"/>
      <c r="C131" s="542"/>
      <c r="D131" s="542"/>
      <c r="E131" s="542"/>
      <c r="F131" s="542"/>
      <c r="G131" s="542"/>
      <c r="H131" s="542"/>
      <c r="I131" s="542"/>
      <c r="J131" s="542"/>
      <c r="K131" s="295"/>
      <c r="M131" s="503"/>
      <c r="N131" s="504"/>
      <c r="O131" s="504"/>
      <c r="P131" s="504"/>
      <c r="Q131" s="504"/>
    </row>
    <row r="132" spans="2:17" s="17" customFormat="1">
      <c r="B132" s="1064" t="s">
        <v>83</v>
      </c>
      <c r="C132" s="1064"/>
      <c r="D132" s="1064"/>
      <c r="E132" s="1064"/>
      <c r="F132" s="1064"/>
      <c r="G132" s="1064"/>
      <c r="H132" s="1064"/>
      <c r="I132" s="1064"/>
      <c r="J132" s="1064"/>
      <c r="K132" s="1064"/>
      <c r="M132" s="503"/>
      <c r="N132" s="504"/>
      <c r="O132" s="504"/>
      <c r="P132" s="504"/>
      <c r="Q132" s="504"/>
    </row>
    <row r="133" spans="2:17" s="17" customFormat="1">
      <c r="B133" s="1065" t="s">
        <v>22</v>
      </c>
      <c r="C133" s="1065"/>
      <c r="D133" s="1065"/>
      <c r="E133" s="1065"/>
      <c r="F133" s="1065"/>
      <c r="G133" s="1065"/>
      <c r="H133" s="1065"/>
      <c r="I133" s="1065"/>
      <c r="J133" s="1065"/>
      <c r="K133" s="534" t="s">
        <v>1</v>
      </c>
      <c r="M133" s="503"/>
      <c r="N133" s="504"/>
      <c r="O133" s="504"/>
      <c r="P133" s="504"/>
      <c r="Q133" s="504"/>
    </row>
    <row r="134" spans="2:17" s="17" customFormat="1">
      <c r="B134" s="238" t="s">
        <v>7</v>
      </c>
      <c r="C134" s="1044" t="str">
        <f>B31</f>
        <v>MÓDULO 1 - COMPOSIÇÃO DA REMUNERAÇÃO</v>
      </c>
      <c r="D134" s="1044"/>
      <c r="E134" s="1044"/>
      <c r="F134" s="1044"/>
      <c r="G134" s="1044"/>
      <c r="H134" s="1044"/>
      <c r="I134" s="1044"/>
      <c r="J134" s="1044"/>
      <c r="K134" s="355">
        <f>K42</f>
        <v>1784.7179999999998</v>
      </c>
      <c r="M134" s="595">
        <v>1784.72</v>
      </c>
      <c r="N134" s="504"/>
      <c r="O134" s="504"/>
      <c r="P134" s="504"/>
      <c r="Q134" s="504"/>
    </row>
    <row r="135" spans="2:17" s="17" customFormat="1">
      <c r="B135" s="240" t="s">
        <v>8</v>
      </c>
      <c r="C135" s="1044" t="str">
        <f>B45</f>
        <v>MÓDULO 2 – ENCARGOS E BENEFÍCIOS ANUAIS, MENSAIS E DIÁRIOS</v>
      </c>
      <c r="D135" s="1044"/>
      <c r="E135" s="1044"/>
      <c r="F135" s="1044"/>
      <c r="G135" s="1044"/>
      <c r="H135" s="1044"/>
      <c r="I135" s="1044"/>
      <c r="J135" s="1044"/>
      <c r="K135" s="426">
        <f>K74</f>
        <v>1486.18</v>
      </c>
      <c r="M135" s="595">
        <v>1486.18</v>
      </c>
      <c r="N135" s="504"/>
      <c r="O135" s="504"/>
      <c r="P135" s="504"/>
      <c r="Q135" s="504"/>
    </row>
    <row r="136" spans="2:17" s="17" customFormat="1">
      <c r="B136" s="240" t="s">
        <v>9</v>
      </c>
      <c r="C136" s="1044" t="str">
        <f>B75</f>
        <v>MÓDULO 3 – PROVISÃO PARA RESCISÃO</v>
      </c>
      <c r="D136" s="1044"/>
      <c r="E136" s="1044"/>
      <c r="F136" s="1044"/>
      <c r="G136" s="1044"/>
      <c r="H136" s="1044"/>
      <c r="I136" s="1044"/>
      <c r="J136" s="1044"/>
      <c r="K136" s="426">
        <f>K83</f>
        <v>127.01</v>
      </c>
      <c r="M136" s="595">
        <v>127.01</v>
      </c>
      <c r="N136" s="504"/>
      <c r="O136" s="504"/>
      <c r="P136" s="504"/>
      <c r="Q136" s="504"/>
    </row>
    <row r="137" spans="2:17" s="17" customFormat="1">
      <c r="B137" s="238" t="s">
        <v>10</v>
      </c>
      <c r="C137" s="1044" t="str">
        <f>B85</f>
        <v>MÓDULO 4 – CUSTO DE REPOSIÇÃO DO PROFISSIONAL AUSENTE</v>
      </c>
      <c r="D137" s="1044"/>
      <c r="E137" s="1044"/>
      <c r="F137" s="1044"/>
      <c r="G137" s="1044"/>
      <c r="H137" s="1044"/>
      <c r="I137" s="1044"/>
      <c r="J137" s="1044"/>
      <c r="K137" s="426">
        <f>K103</f>
        <v>366.79</v>
      </c>
      <c r="M137" s="595">
        <v>366.79</v>
      </c>
      <c r="N137" s="504"/>
      <c r="O137" s="504"/>
      <c r="P137" s="504"/>
      <c r="Q137" s="504"/>
    </row>
    <row r="138" spans="2:17" s="17" customFormat="1" ht="15.75" thickBot="1">
      <c r="B138" s="424" t="s">
        <v>11</v>
      </c>
      <c r="C138" s="1061" t="str">
        <f>B106</f>
        <v>MÓDULO 5 – INSUMOS DIVERSOS</v>
      </c>
      <c r="D138" s="1061"/>
      <c r="E138" s="1061"/>
      <c r="F138" s="1061"/>
      <c r="G138" s="1061"/>
      <c r="H138" s="1061"/>
      <c r="I138" s="1061"/>
      <c r="J138" s="1061"/>
      <c r="K138" s="427">
        <f>K111</f>
        <v>143.21</v>
      </c>
      <c r="M138" s="595">
        <v>143.21</v>
      </c>
      <c r="N138" s="504"/>
      <c r="O138" s="504"/>
      <c r="P138" s="504"/>
      <c r="Q138" s="504"/>
    </row>
    <row r="139" spans="2:17" s="17" customFormat="1">
      <c r="B139" s="1062" t="s">
        <v>74</v>
      </c>
      <c r="C139" s="1063"/>
      <c r="D139" s="1063"/>
      <c r="E139" s="1063"/>
      <c r="F139" s="1063"/>
      <c r="G139" s="1063"/>
      <c r="H139" s="1063"/>
      <c r="I139" s="1063"/>
      <c r="J139" s="1063"/>
      <c r="K139" s="430">
        <f>TRUNC(SUM(K134:K138),2)+0.01</f>
        <v>3907.9100000000003</v>
      </c>
      <c r="M139" s="595">
        <f>M134+M135+M136+M137+M138</f>
        <v>3907.9100000000003</v>
      </c>
      <c r="N139" s="504"/>
      <c r="O139" s="504"/>
      <c r="P139" s="504"/>
      <c r="Q139" s="504"/>
    </row>
    <row r="140" spans="2:17" s="17" customFormat="1">
      <c r="B140" s="425" t="s">
        <v>13</v>
      </c>
      <c r="C140" s="1061" t="str">
        <f>B112</f>
        <v>MÓDULO 6 – CUSTOS INDIRETOS, TRIBUTOS E LUCRO</v>
      </c>
      <c r="D140" s="1061"/>
      <c r="E140" s="1061"/>
      <c r="F140" s="1061"/>
      <c r="G140" s="1061"/>
      <c r="H140" s="1061"/>
      <c r="I140" s="1061"/>
      <c r="J140" s="1061"/>
      <c r="K140" s="428">
        <f>K121</f>
        <v>1252.31</v>
      </c>
      <c r="M140" s="595">
        <v>1252.31</v>
      </c>
      <c r="N140" s="504"/>
      <c r="O140" s="504"/>
      <c r="P140" s="504"/>
      <c r="Q140" s="504"/>
    </row>
    <row r="141" spans="2:17" s="17" customFormat="1">
      <c r="B141" s="1064" t="s">
        <v>75</v>
      </c>
      <c r="C141" s="1064"/>
      <c r="D141" s="1064"/>
      <c r="E141" s="1064"/>
      <c r="F141" s="1064"/>
      <c r="G141" s="1064"/>
      <c r="H141" s="1064"/>
      <c r="I141" s="1064"/>
      <c r="J141" s="1064"/>
      <c r="K141" s="347">
        <f>(K139+K115+K114)/(1-J123)-0.01</f>
        <v>5160.2198850574714</v>
      </c>
      <c r="L141" s="16"/>
      <c r="M141" s="595">
        <f>M139+M140</f>
        <v>5160.22</v>
      </c>
      <c r="N141" s="504"/>
      <c r="O141" s="504"/>
      <c r="P141" s="504"/>
      <c r="Q141" s="504"/>
    </row>
    <row r="142" spans="2:17" s="17" customFormat="1">
      <c r="B142" s="1064" t="s">
        <v>100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v>2</v>
      </c>
      <c r="M142" s="503">
        <v>2</v>
      </c>
      <c r="N142" s="504"/>
      <c r="O142" s="504"/>
      <c r="P142" s="504"/>
      <c r="Q142" s="504"/>
    </row>
    <row r="143" spans="2:17" s="17" customFormat="1">
      <c r="B143" s="1064" t="s">
        <v>143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f>K141*K142</f>
        <v>10320.439770114943</v>
      </c>
      <c r="M143" s="595">
        <f>M141*M142</f>
        <v>10320.44</v>
      </c>
      <c r="N143" s="504"/>
      <c r="O143" s="504"/>
      <c r="P143" s="504"/>
      <c r="Q143" s="504"/>
    </row>
    <row r="144" spans="2:17" s="29" customFormat="1">
      <c r="B144" s="1064" t="s">
        <v>122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v>1</v>
      </c>
      <c r="M144" s="503">
        <v>1</v>
      </c>
      <c r="N144" s="504"/>
      <c r="O144" s="504"/>
      <c r="P144" s="504"/>
      <c r="Q144" s="504"/>
    </row>
    <row r="145" spans="2:17" s="29" customFormat="1" ht="15" customHeight="1">
      <c r="B145" s="1064" t="s">
        <v>144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f>K143*K144</f>
        <v>10320.439770114943</v>
      </c>
      <c r="M145" s="595">
        <f>M143*M144</f>
        <v>10320.44</v>
      </c>
      <c r="N145" s="504"/>
      <c r="O145" s="504"/>
      <c r="P145" s="504"/>
      <c r="Q145" s="504"/>
    </row>
    <row r="146" spans="2:17" s="29" customFormat="1">
      <c r="B146" s="1064" t="s">
        <v>145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K145*12</f>
        <v>123845.27724137931</v>
      </c>
      <c r="M146" s="503">
        <v>12</v>
      </c>
      <c r="N146" s="504"/>
      <c r="O146" s="504"/>
      <c r="P146" s="504"/>
      <c r="Q146" s="504"/>
    </row>
    <row r="147" spans="2:17" s="29" customFormat="1">
      <c r="B147" s="234"/>
      <c r="C147" s="421"/>
      <c r="D147" s="421"/>
      <c r="E147" s="421"/>
      <c r="F147" s="421"/>
      <c r="G147" s="421"/>
      <c r="H147" s="421"/>
      <c r="I147" s="421"/>
      <c r="J147" s="421"/>
      <c r="K147" s="421"/>
      <c r="M147" s="595">
        <f>M145*M146</f>
        <v>123845.28</v>
      </c>
      <c r="N147" s="504"/>
      <c r="O147" s="504"/>
      <c r="P147" s="504"/>
      <c r="Q147" s="504"/>
    </row>
    <row r="148" spans="2:17" s="423" customFormat="1" ht="15.75">
      <c r="B148" s="422"/>
      <c r="C148" s="422"/>
      <c r="D148" s="422"/>
      <c r="E148" s="422"/>
      <c r="F148" s="422"/>
      <c r="G148" s="422"/>
      <c r="H148" s="533"/>
      <c r="I148" s="533"/>
      <c r="J148" s="533"/>
      <c r="K148" s="533"/>
      <c r="M148" s="503"/>
      <c r="N148" s="504"/>
      <c r="O148" s="504"/>
      <c r="P148" s="504"/>
      <c r="Q148" s="504"/>
    </row>
    <row r="149" spans="2:17" s="423" customFormat="1" ht="15.75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ht="15.75">
      <c r="H150" s="533"/>
      <c r="I150" s="533"/>
      <c r="J150" s="533"/>
      <c r="K150" s="533"/>
    </row>
    <row r="151" spans="2:17" ht="15.75">
      <c r="H151" s="1059" t="s">
        <v>241</v>
      </c>
      <c r="I151" s="1059"/>
      <c r="J151" s="1059"/>
      <c r="K151" s="1059"/>
    </row>
    <row r="152" spans="2:17" ht="15.75">
      <c r="H152" s="1060" t="s">
        <v>242</v>
      </c>
      <c r="I152" s="1060"/>
      <c r="J152" s="1060"/>
      <c r="K152" s="1060"/>
    </row>
  </sheetData>
  <mergeCells count="162">
    <mergeCell ref="H151:K151"/>
    <mergeCell ref="H152:K152"/>
    <mergeCell ref="B141:J141"/>
    <mergeCell ref="B142:J142"/>
    <mergeCell ref="B143:J143"/>
    <mergeCell ref="B144:J144"/>
    <mergeCell ref="B145:J145"/>
    <mergeCell ref="B146:J146"/>
    <mergeCell ref="C135:J135"/>
    <mergeCell ref="C136:J136"/>
    <mergeCell ref="C137:J137"/>
    <mergeCell ref="C138:J138"/>
    <mergeCell ref="B139:J139"/>
    <mergeCell ref="C140:J140"/>
    <mergeCell ref="D126:I126"/>
    <mergeCell ref="D128:I128"/>
    <mergeCell ref="D130:I130"/>
    <mergeCell ref="B132:K132"/>
    <mergeCell ref="B133:J133"/>
    <mergeCell ref="C134:J134"/>
    <mergeCell ref="C119:I119"/>
    <mergeCell ref="C120:I120"/>
    <mergeCell ref="B121:I121"/>
    <mergeCell ref="D122:K122"/>
    <mergeCell ref="D123:I123"/>
    <mergeCell ref="J123:K124"/>
    <mergeCell ref="D124:I124"/>
    <mergeCell ref="C113:I113"/>
    <mergeCell ref="C114:I114"/>
    <mergeCell ref="C115:I115"/>
    <mergeCell ref="C116:K116"/>
    <mergeCell ref="C117:I117"/>
    <mergeCell ref="C118:I118"/>
    <mergeCell ref="C107:J107"/>
    <mergeCell ref="C108:I108"/>
    <mergeCell ref="C109:I109"/>
    <mergeCell ref="C110:I110"/>
    <mergeCell ref="B111:I111"/>
    <mergeCell ref="B112:K112"/>
    <mergeCell ref="C101:J101"/>
    <mergeCell ref="C102:J102"/>
    <mergeCell ref="B103:J103"/>
    <mergeCell ref="B104:I104"/>
    <mergeCell ref="B105:K105"/>
    <mergeCell ref="B106:K106"/>
    <mergeCell ref="B94:K94"/>
    <mergeCell ref="B95:J95"/>
    <mergeCell ref="C96:J96"/>
    <mergeCell ref="B97:J97"/>
    <mergeCell ref="B99:K99"/>
    <mergeCell ref="B100:J100"/>
    <mergeCell ref="C88:I88"/>
    <mergeCell ref="C89:I89"/>
    <mergeCell ref="C90:I90"/>
    <mergeCell ref="C91:I91"/>
    <mergeCell ref="C92:I92"/>
    <mergeCell ref="B93:I93"/>
    <mergeCell ref="C82:I82"/>
    <mergeCell ref="B83:I83"/>
    <mergeCell ref="C84:K84"/>
    <mergeCell ref="B85:K85"/>
    <mergeCell ref="B86:I86"/>
    <mergeCell ref="C87:I87"/>
    <mergeCell ref="C76:I76"/>
    <mergeCell ref="C77:I77"/>
    <mergeCell ref="C78:I78"/>
    <mergeCell ref="C79:I79"/>
    <mergeCell ref="C80:I80"/>
    <mergeCell ref="C81:I81"/>
    <mergeCell ref="C71:J71"/>
    <mergeCell ref="C72:J72"/>
    <mergeCell ref="C73:J73"/>
    <mergeCell ref="C74:J74"/>
    <mergeCell ref="B75:K75"/>
    <mergeCell ref="M75:N75"/>
    <mergeCell ref="B67:J67"/>
    <mergeCell ref="C68:K68"/>
    <mergeCell ref="M68:N68"/>
    <mergeCell ref="B69:K69"/>
    <mergeCell ref="B70:J70"/>
    <mergeCell ref="M70:N70"/>
    <mergeCell ref="C61:K61"/>
    <mergeCell ref="M61:N61"/>
    <mergeCell ref="B62:J62"/>
    <mergeCell ref="C63:J63"/>
    <mergeCell ref="C64:J64"/>
    <mergeCell ref="C65:J65"/>
    <mergeCell ref="C56:I56"/>
    <mergeCell ref="C57:I57"/>
    <mergeCell ref="C58:I58"/>
    <mergeCell ref="C59:I59"/>
    <mergeCell ref="M59:N59"/>
    <mergeCell ref="B60:I60"/>
    <mergeCell ref="B51:I51"/>
    <mergeCell ref="C52:I52"/>
    <mergeCell ref="M52:N53"/>
    <mergeCell ref="C53:I53"/>
    <mergeCell ref="C54:I54"/>
    <mergeCell ref="C55:I55"/>
    <mergeCell ref="B45:K45"/>
    <mergeCell ref="B46:I46"/>
    <mergeCell ref="C47:I47"/>
    <mergeCell ref="C48:I48"/>
    <mergeCell ref="B49:I49"/>
    <mergeCell ref="B50:K50"/>
    <mergeCell ref="D39:I39"/>
    <mergeCell ref="C40:I40"/>
    <mergeCell ref="B41:J41"/>
    <mergeCell ref="B42:J42"/>
    <mergeCell ref="N42:Q42"/>
    <mergeCell ref="N43:Q43"/>
    <mergeCell ref="C33:I33"/>
    <mergeCell ref="C34:I34"/>
    <mergeCell ref="C35:I35"/>
    <mergeCell ref="C36:I36"/>
    <mergeCell ref="D37:I37"/>
    <mergeCell ref="D38:I38"/>
    <mergeCell ref="C28:J28"/>
    <mergeCell ref="C29:J29"/>
    <mergeCell ref="C30:K30"/>
    <mergeCell ref="B31:K31"/>
    <mergeCell ref="M31:P31"/>
    <mergeCell ref="C32:I32"/>
    <mergeCell ref="M23:P23"/>
    <mergeCell ref="B24:K24"/>
    <mergeCell ref="C25:J25"/>
    <mergeCell ref="M25:Q25"/>
    <mergeCell ref="C26:J26"/>
    <mergeCell ref="C27:J27"/>
    <mergeCell ref="B17:K17"/>
    <mergeCell ref="B19:G19"/>
    <mergeCell ref="I19:K19"/>
    <mergeCell ref="B20:G20"/>
    <mergeCell ref="I20:K20"/>
    <mergeCell ref="B22:K22"/>
    <mergeCell ref="C13:G13"/>
    <mergeCell ref="H13:K13"/>
    <mergeCell ref="M13:P13"/>
    <mergeCell ref="C14:G14"/>
    <mergeCell ref="H14:K14"/>
    <mergeCell ref="C15:G15"/>
    <mergeCell ref="H15:K15"/>
    <mergeCell ref="M15:Q15"/>
    <mergeCell ref="C8:G8"/>
    <mergeCell ref="H8:K8"/>
    <mergeCell ref="H9:K9"/>
    <mergeCell ref="B10:K10"/>
    <mergeCell ref="B11:K11"/>
    <mergeCell ref="C12:G12"/>
    <mergeCell ref="H12:K12"/>
    <mergeCell ref="B4:K4"/>
    <mergeCell ref="M4:Q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4" orientation="portrait" horizontalDpi="360" verticalDpi="360" r:id="rId1"/>
  <headerFooter>
    <oddHeader>&amp;L&amp;G&amp;R&amp;G</oddHeader>
  </headerFooter>
  <rowBreaks count="1" manualBreakCount="1">
    <brk id="83" min="1" max="10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B1:R152"/>
  <sheetViews>
    <sheetView view="pageBreakPreview" topLeftCell="A85" zoomScale="71" zoomScaleNormal="55" zoomScaleSheetLayoutView="71" workbookViewId="0">
      <selection activeCell="J114" sqref="J114:J115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28.140625" style="236" customWidth="1"/>
    <col min="8" max="8" width="19.140625" style="236" customWidth="1"/>
    <col min="9" max="9" width="20.28515625" style="236" customWidth="1"/>
    <col min="10" max="10" width="11.140625" style="236" customWidth="1"/>
    <col min="11" max="11" width="17.5703125" style="236" customWidth="1"/>
    <col min="12" max="12" width="8.140625" style="2" bestFit="1" customWidth="1"/>
    <col min="13" max="13" width="37.28515625" style="503" customWidth="1"/>
    <col min="14" max="14" width="13.85546875" style="504" customWidth="1"/>
    <col min="15" max="15" width="18" style="504" bestFit="1" customWidth="1"/>
    <col min="16" max="16" width="21.42578125" style="504" customWidth="1"/>
    <col min="17" max="17" width="18.5703125" style="504" customWidth="1"/>
    <col min="18" max="18" width="9.5703125" style="2" bestFit="1" customWidth="1"/>
    <col min="19" max="16384" width="9.140625" style="2"/>
  </cols>
  <sheetData>
    <row r="1" spans="2:17" s="6" customFormat="1" ht="14.45" customHeight="1">
      <c r="B1" s="987" t="s">
        <v>308</v>
      </c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 t="str">
        <f>B1</f>
        <v>PREGÃO ELETRÔNICO Nº 02/2021 - PROCESSO: 10283-721.005/2021-37</v>
      </c>
      <c r="N1" s="988"/>
      <c r="O1" s="988"/>
      <c r="P1" s="988"/>
      <c r="Q1" s="988"/>
    </row>
    <row r="2" spans="2:17" s="6" customFormat="1" ht="12.75">
      <c r="B2" s="989" t="s">
        <v>139</v>
      </c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7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 t="s">
        <v>127</v>
      </c>
      <c r="K3" s="343" t="s">
        <v>309</v>
      </c>
      <c r="L3" s="5"/>
      <c r="M3" s="997"/>
      <c r="N3" s="997"/>
      <c r="O3" s="997"/>
      <c r="P3" s="997"/>
      <c r="Q3" s="997"/>
    </row>
    <row r="4" spans="2:17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7" s="6" customFormat="1" ht="17.25" customHeight="1">
      <c r="B5" s="1014" t="s">
        <v>310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7" s="6" customFormat="1" ht="12.75">
      <c r="B6" s="552" t="s">
        <v>128</v>
      </c>
      <c r="C6" s="313" t="s">
        <v>129</v>
      </c>
      <c r="D6" s="314"/>
      <c r="E6" s="314"/>
      <c r="F6" s="314"/>
      <c r="G6" s="314"/>
      <c r="H6" s="1015" t="str">
        <f>K3</f>
        <v>14/04/2021 - 10:00H</v>
      </c>
      <c r="I6" s="1015"/>
      <c r="J6" s="1015"/>
      <c r="K6" s="1015"/>
      <c r="L6" s="5"/>
      <c r="M6" s="591" t="s">
        <v>118</v>
      </c>
      <c r="N6" s="322">
        <v>4</v>
      </c>
      <c r="O6" s="510">
        <v>60</v>
      </c>
      <c r="P6" s="322">
        <v>12</v>
      </c>
      <c r="Q6" s="592">
        <f>(N6*O6)/P6</f>
        <v>20</v>
      </c>
    </row>
    <row r="7" spans="2:17" s="6" customFormat="1" ht="12.75">
      <c r="B7" s="552" t="s">
        <v>8</v>
      </c>
      <c r="C7" s="1001" t="s">
        <v>130</v>
      </c>
      <c r="D7" s="1002"/>
      <c r="E7" s="1002"/>
      <c r="F7" s="1002"/>
      <c r="G7" s="1003"/>
      <c r="H7" s="1015" t="s">
        <v>311</v>
      </c>
      <c r="I7" s="1015"/>
      <c r="J7" s="1015"/>
      <c r="K7" s="1015"/>
      <c r="L7" s="5"/>
      <c r="M7" s="591" t="s">
        <v>334</v>
      </c>
      <c r="N7" s="322">
        <v>4</v>
      </c>
      <c r="O7" s="510">
        <v>60</v>
      </c>
      <c r="P7" s="322">
        <v>12</v>
      </c>
      <c r="Q7" s="592">
        <f>(N7*O7)/P7</f>
        <v>20</v>
      </c>
    </row>
    <row r="8" spans="2:17" s="6" customFormat="1" ht="12.75">
      <c r="B8" s="552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75</v>
      </c>
      <c r="P8" s="322">
        <v>12</v>
      </c>
      <c r="Q8" s="592">
        <f>O8/P8</f>
        <v>6.25</v>
      </c>
    </row>
    <row r="9" spans="2:17" s="6" customFormat="1" ht="12.75">
      <c r="B9" s="552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10</v>
      </c>
      <c r="O9" s="510">
        <v>8</v>
      </c>
      <c r="P9" s="322">
        <v>12</v>
      </c>
      <c r="Q9" s="592">
        <f>O9/P9</f>
        <v>0.66666666666666663</v>
      </c>
    </row>
    <row r="10" spans="2:17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20</v>
      </c>
      <c r="P10" s="322">
        <v>12</v>
      </c>
      <c r="Q10" s="592">
        <f t="shared" ref="Q10:Q11" si="0">(N10*O10)/P10</f>
        <v>3.3333333333333335</v>
      </c>
    </row>
    <row r="11" spans="2:17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119</v>
      </c>
      <c r="N11" s="322">
        <v>2</v>
      </c>
      <c r="O11" s="510">
        <v>25</v>
      </c>
      <c r="P11" s="322">
        <v>12</v>
      </c>
      <c r="Q11" s="592">
        <f t="shared" si="0"/>
        <v>4.166666666666667</v>
      </c>
    </row>
    <row r="12" spans="2:17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12 horas diurnas 12x36 de segunda - feira a domingo</v>
      </c>
      <c r="I12" s="1010"/>
      <c r="J12" s="1010"/>
      <c r="K12" s="1010"/>
      <c r="L12" s="5"/>
      <c r="M12" s="591" t="s">
        <v>335</v>
      </c>
      <c r="N12" s="322">
        <v>2</v>
      </c>
      <c r="O12" s="510">
        <v>15</v>
      </c>
      <c r="P12" s="322">
        <v>12</v>
      </c>
      <c r="Q12" s="592">
        <f>(N12*O12)/P12</f>
        <v>2.5</v>
      </c>
    </row>
    <row r="13" spans="2:17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593">
        <f>Q6+Q7+Q8+Q9+Q10+Q11+Q12</f>
        <v>56.916666666666664</v>
      </c>
    </row>
    <row r="14" spans="2:17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7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43831</v>
      </c>
      <c r="I15" s="1024"/>
      <c r="J15" s="1024"/>
      <c r="K15" s="1024"/>
      <c r="L15" s="5"/>
      <c r="M15" s="986" t="s">
        <v>188</v>
      </c>
      <c r="N15" s="986"/>
      <c r="O15" s="986"/>
      <c r="P15" s="986"/>
      <c r="Q15" s="986"/>
    </row>
    <row r="16" spans="2:17" s="17" customFormat="1" ht="12.75">
      <c r="B16" s="291"/>
      <c r="C16" s="542"/>
      <c r="D16" s="539"/>
      <c r="E16" s="539"/>
      <c r="F16" s="539"/>
      <c r="G16" s="539"/>
      <c r="H16" s="539"/>
      <c r="I16" s="539"/>
      <c r="J16" s="539"/>
      <c r="K16" s="543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120</v>
      </c>
      <c r="N17" s="326">
        <v>1</v>
      </c>
      <c r="O17" s="515">
        <v>30</v>
      </c>
      <c r="P17" s="326">
        <v>12</v>
      </c>
      <c r="Q17" s="516">
        <f>(N17*O17)/P17</f>
        <v>2.5</v>
      </c>
    </row>
    <row r="18" spans="2:17" s="17" customFormat="1" ht="12.75">
      <c r="B18" s="291"/>
      <c r="C18" s="542"/>
      <c r="D18" s="539"/>
      <c r="E18" s="539"/>
      <c r="F18" s="539"/>
      <c r="G18" s="539"/>
      <c r="H18" s="539"/>
      <c r="I18" s="539"/>
      <c r="J18" s="542"/>
      <c r="K18" s="543"/>
      <c r="M18" s="327" t="s">
        <v>337</v>
      </c>
      <c r="N18" s="326">
        <v>1</v>
      </c>
      <c r="O18" s="515">
        <v>20</v>
      </c>
      <c r="P18" s="326">
        <v>12</v>
      </c>
      <c r="Q18" s="515">
        <f>N18*O18/P18</f>
        <v>1.6666666666666667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551" t="s">
        <v>26</v>
      </c>
      <c r="I19" s="1018" t="s">
        <v>336</v>
      </c>
      <c r="J19" s="1018"/>
      <c r="K19" s="1018"/>
      <c r="M19" s="328" t="s">
        <v>338</v>
      </c>
      <c r="N19" s="326">
        <v>2</v>
      </c>
      <c r="O19" s="515">
        <v>20</v>
      </c>
      <c r="P19" s="326">
        <v>12</v>
      </c>
      <c r="Q19" s="515">
        <f t="shared" ref="Q19" si="1">(N19*O19)/P19</f>
        <v>3.3333333333333335</v>
      </c>
    </row>
    <row r="20" spans="2:17" s="17" customFormat="1" ht="12.75">
      <c r="B20" s="1019" t="str">
        <f>H12</f>
        <v>Vigilância armada 12 horas diurnas 12x36 de segunda - feira a domingo</v>
      </c>
      <c r="C20" s="1020"/>
      <c r="D20" s="1020"/>
      <c r="E20" s="1020"/>
      <c r="F20" s="1020"/>
      <c r="G20" s="1020"/>
      <c r="H20" s="317" t="s">
        <v>94</v>
      </c>
      <c r="I20" s="1021">
        <v>2</v>
      </c>
      <c r="J20" s="1021"/>
      <c r="K20" s="1021"/>
      <c r="M20" s="328" t="s">
        <v>339</v>
      </c>
      <c r="N20" s="322">
        <v>1</v>
      </c>
      <c r="O20" s="510">
        <v>80</v>
      </c>
      <c r="P20" s="322">
        <v>60</v>
      </c>
      <c r="Q20" s="510">
        <f>(N20*O20)/P20</f>
        <v>1.3333333333333333</v>
      </c>
    </row>
    <row r="21" spans="2:17" s="17" customFormat="1" ht="12.75">
      <c r="B21" s="291"/>
      <c r="C21" s="542"/>
      <c r="D21" s="539"/>
      <c r="E21" s="539"/>
      <c r="F21" s="539"/>
      <c r="G21" s="539"/>
      <c r="H21" s="539"/>
      <c r="I21" s="539"/>
      <c r="J21" s="539"/>
      <c r="K21" s="543"/>
      <c r="M21" s="321" t="s">
        <v>340</v>
      </c>
      <c r="N21" s="322">
        <v>1</v>
      </c>
      <c r="O21" s="510">
        <v>600</v>
      </c>
      <c r="P21" s="322">
        <v>12</v>
      </c>
      <c r="Q21" s="510">
        <f>(N21*O21)/P21</f>
        <v>50</v>
      </c>
    </row>
    <row r="22" spans="2:17" s="17" customFormat="1" ht="12.7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341</v>
      </c>
      <c r="N22" s="322">
        <v>1</v>
      </c>
      <c r="O22" s="510">
        <v>80</v>
      </c>
      <c r="P22" s="322">
        <v>12</v>
      </c>
      <c r="Q22" s="510">
        <f t="shared" ref="Q22" si="2">(N22*O22)/P22</f>
        <v>6.666666666666667</v>
      </c>
    </row>
    <row r="23" spans="2:17" s="17" customFormat="1" ht="12.75">
      <c r="B23" s="291"/>
      <c r="C23" s="539"/>
      <c r="D23" s="539"/>
      <c r="E23" s="539"/>
      <c r="F23" s="539"/>
      <c r="G23" s="539"/>
      <c r="H23" s="539"/>
      <c r="I23" s="539"/>
      <c r="J23" s="539"/>
      <c r="K23" s="543"/>
      <c r="M23" s="986" t="s">
        <v>147</v>
      </c>
      <c r="N23" s="986"/>
      <c r="O23" s="986"/>
      <c r="P23" s="986"/>
      <c r="Q23" s="329">
        <f>Q17+Q18+Q19+Q20+Q21+Q22</f>
        <v>65.5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986" t="s">
        <v>188</v>
      </c>
      <c r="N25" s="986"/>
      <c r="O25" s="986"/>
      <c r="P25" s="986"/>
      <c r="Q25" s="986"/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323" t="s">
        <v>114</v>
      </c>
      <c r="N26" s="324" t="s">
        <v>115</v>
      </c>
      <c r="O26" s="324" t="s">
        <v>116</v>
      </c>
      <c r="P26" s="324" t="s">
        <v>117</v>
      </c>
      <c r="Q26" s="324" t="s">
        <v>97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  <c r="M27" s="328" t="s">
        <v>220</v>
      </c>
      <c r="N27" s="322">
        <v>1</v>
      </c>
      <c r="O27" s="510">
        <v>1500</v>
      </c>
      <c r="P27" s="326">
        <v>120</v>
      </c>
      <c r="Q27" s="516">
        <f>(N27*O27)/P27</f>
        <v>12.5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328" t="s">
        <v>343</v>
      </c>
      <c r="N28" s="322">
        <v>1</v>
      </c>
      <c r="O28" s="510">
        <v>50</v>
      </c>
      <c r="P28" s="326">
        <v>12</v>
      </c>
      <c r="Q28" s="515">
        <f>N28*O28/P28</f>
        <v>4.166666666666667</v>
      </c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8" t="s">
        <v>342</v>
      </c>
      <c r="N29" s="322">
        <v>8</v>
      </c>
      <c r="O29" s="510">
        <v>16</v>
      </c>
      <c r="P29" s="326">
        <v>60</v>
      </c>
      <c r="Q29" s="515">
        <f t="shared" ref="Q29:Q30" si="3">N29*O29/P29</f>
        <v>2.1333333333333333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344</v>
      </c>
      <c r="N30" s="322">
        <v>1</v>
      </c>
      <c r="O30" s="510">
        <v>120</v>
      </c>
      <c r="P30" s="326">
        <v>60</v>
      </c>
      <c r="Q30" s="515">
        <f t="shared" si="3"/>
        <v>2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986" t="s">
        <v>147</v>
      </c>
      <c r="N31" s="986"/>
      <c r="O31" s="986"/>
      <c r="P31" s="986"/>
      <c r="Q31" s="329">
        <f>Q27+Q28+Q29+Q30</f>
        <v>20.8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545" t="s">
        <v>3</v>
      </c>
      <c r="K32" s="545" t="s">
        <v>1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276">
        <f>K27</f>
        <v>1372.86</v>
      </c>
      <c r="L33" s="21"/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261">
        <v>0.3</v>
      </c>
      <c r="K34" s="276">
        <f>K33*J34</f>
        <v>411.85799999999995</v>
      </c>
      <c r="L34" s="21"/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0</v>
      </c>
      <c r="K35" s="276">
        <f>((K33+K34)/220)*0.2*J35</f>
        <v>0</v>
      </c>
      <c r="L35" s="22"/>
      <c r="R35" s="23"/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276">
        <f>J36*14.89</f>
        <v>0</v>
      </c>
      <c r="L36" s="22"/>
      <c r="R36" s="16"/>
    </row>
    <row r="37" spans="2:18" s="17" customFormat="1" ht="15" hidden="1" customHeight="1">
      <c r="B37" s="238"/>
      <c r="C37" s="243"/>
      <c r="D37" s="1027" t="s">
        <v>111</v>
      </c>
      <c r="E37" s="1027"/>
      <c r="F37" s="1027"/>
      <c r="G37" s="1027"/>
      <c r="H37" s="1027"/>
      <c r="I37" s="1027"/>
      <c r="J37" s="278">
        <v>0</v>
      </c>
      <c r="K37" s="276">
        <f>J37*15</f>
        <v>0</v>
      </c>
      <c r="L37" s="22"/>
      <c r="M37" s="503"/>
      <c r="N37" s="504"/>
      <c r="O37" s="504"/>
      <c r="P37" s="504"/>
      <c r="Q37" s="504"/>
    </row>
    <row r="38" spans="2:18" s="17" customFormat="1" ht="15" hidden="1" customHeight="1">
      <c r="B38" s="238"/>
      <c r="C38" s="545"/>
      <c r="D38" s="1027" t="s">
        <v>110</v>
      </c>
      <c r="E38" s="1027"/>
      <c r="F38" s="1027"/>
      <c r="G38" s="1027"/>
      <c r="H38" s="1027"/>
      <c r="I38" s="1027"/>
      <c r="J38" s="278">
        <v>0</v>
      </c>
      <c r="K38" s="276">
        <f>K37/6</f>
        <v>0</v>
      </c>
      <c r="L38" s="22"/>
      <c r="M38" s="503"/>
      <c r="N38" s="504"/>
      <c r="O38" s="504"/>
      <c r="P38" s="504"/>
      <c r="Q38" s="504"/>
    </row>
    <row r="39" spans="2:18" s="17" customFormat="1" ht="15" hidden="1" customHeight="1">
      <c r="B39" s="238"/>
      <c r="C39" s="545"/>
      <c r="D39" s="1027" t="s">
        <v>112</v>
      </c>
      <c r="E39" s="1027"/>
      <c r="F39" s="1027"/>
      <c r="G39" s="1027"/>
      <c r="H39" s="1027"/>
      <c r="I39" s="1027"/>
      <c r="J39" s="279">
        <v>0</v>
      </c>
      <c r="K39" s="276">
        <f>J39*J35</f>
        <v>0</v>
      </c>
      <c r="L39" s="22"/>
      <c r="M39" s="503"/>
      <c r="N39" s="504"/>
      <c r="O39" s="504"/>
      <c r="P39" s="504"/>
      <c r="Q39" s="504"/>
    </row>
    <row r="40" spans="2:18" s="17" customForma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>
        <f>(K35+K36)/6</f>
        <v>0</v>
      </c>
      <c r="L40" s="22"/>
      <c r="M40" s="503"/>
      <c r="N40" s="504"/>
      <c r="O40" s="504"/>
      <c r="P40" s="504"/>
      <c r="Q40" s="504"/>
    </row>
    <row r="41" spans="2:18" s="17" customForma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1784.7179999999998</v>
      </c>
      <c r="L41" s="22"/>
      <c r="M41" s="503"/>
      <c r="N41" s="504"/>
      <c r="O41" s="504"/>
      <c r="P41" s="504"/>
      <c r="Q41" s="504"/>
      <c r="R41" s="23"/>
    </row>
    <row r="42" spans="2:18" s="17" customForma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SUM(K41)</f>
        <v>1784.7179999999998</v>
      </c>
      <c r="L42" s="22"/>
      <c r="M42" s="503"/>
      <c r="N42" s="1035" t="s">
        <v>241</v>
      </c>
      <c r="O42" s="1035"/>
      <c r="P42" s="1035"/>
      <c r="Q42" s="1035"/>
    </row>
    <row r="43" spans="2:18" s="17" customFormat="1">
      <c r="B43" s="291"/>
      <c r="C43" s="547"/>
      <c r="D43" s="547"/>
      <c r="E43" s="547"/>
      <c r="F43" s="547"/>
      <c r="G43" s="547"/>
      <c r="H43" s="547"/>
      <c r="I43" s="547"/>
      <c r="J43" s="547"/>
      <c r="K43" s="293"/>
      <c r="L43" s="27"/>
      <c r="M43" s="503"/>
      <c r="N43" s="1101" t="s">
        <v>242</v>
      </c>
      <c r="O43" s="1101"/>
      <c r="P43" s="1101"/>
      <c r="Q43" s="1101"/>
    </row>
    <row r="44" spans="2:18" s="17" customFormat="1">
      <c r="B44" s="291"/>
      <c r="C44" s="547"/>
      <c r="D44" s="547"/>
      <c r="E44" s="547"/>
      <c r="F44" s="547"/>
      <c r="G44" s="547"/>
      <c r="H44" s="547"/>
      <c r="I44" s="547"/>
      <c r="J44" s="547"/>
      <c r="K44" s="294"/>
      <c r="L44" s="29"/>
      <c r="M44" s="503"/>
      <c r="N44" s="504"/>
      <c r="O44" s="504"/>
      <c r="P44" s="504"/>
      <c r="Q44" s="504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9"/>
      <c r="M45" s="503"/>
      <c r="N45" s="504"/>
      <c r="O45" s="504"/>
      <c r="P45" s="504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550" t="s">
        <v>3</v>
      </c>
      <c r="K46" s="550" t="s">
        <v>1</v>
      </c>
      <c r="L46" s="29"/>
      <c r="M46" s="503"/>
      <c r="N46" s="504"/>
      <c r="O46" s="504"/>
      <c r="P46" s="504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8.3299999999999999E-2</v>
      </c>
      <c r="K47" s="274">
        <f>$K$41*J47</f>
        <v>148.66700939999998</v>
      </c>
      <c r="L47" s="29"/>
      <c r="M47" s="503"/>
      <c r="N47" s="504"/>
      <c r="O47" s="504"/>
      <c r="P47" s="504"/>
      <c r="Q47" s="504"/>
    </row>
    <row r="48" spans="2:18" s="17" customFormat="1">
      <c r="B48" s="238" t="s">
        <v>8</v>
      </c>
      <c r="C48" s="1027" t="s">
        <v>172</v>
      </c>
      <c r="D48" s="1027"/>
      <c r="E48" s="1027"/>
      <c r="F48" s="1027"/>
      <c r="G48" s="1027"/>
      <c r="H48" s="1027"/>
      <c r="I48" s="1027"/>
      <c r="J48" s="411">
        <v>0.1111</v>
      </c>
      <c r="K48" s="274">
        <f>J48*K41</f>
        <v>198.28216979999999</v>
      </c>
      <c r="L48" s="29"/>
      <c r="M48" s="503"/>
      <c r="N48" s="504"/>
      <c r="O48" s="504"/>
      <c r="P48" s="504"/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0.19440000000000002</v>
      </c>
      <c r="K49" s="521">
        <f>SUM(K47:K48)</f>
        <v>346.9491792</v>
      </c>
      <c r="L49" s="29"/>
      <c r="M49" s="503"/>
      <c r="N49" s="504"/>
      <c r="O49" s="504"/>
      <c r="P49" s="504"/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503"/>
      <c r="N50" s="504"/>
      <c r="O50" s="504"/>
      <c r="P50" s="504"/>
      <c r="Q50" s="504"/>
    </row>
    <row r="51" spans="2:17" s="17" customFormat="1">
      <c r="B51" s="1030" t="s">
        <v>48</v>
      </c>
      <c r="C51" s="1030"/>
      <c r="D51" s="1030"/>
      <c r="E51" s="1030"/>
      <c r="F51" s="1030"/>
      <c r="G51" s="1030"/>
      <c r="H51" s="1030"/>
      <c r="I51" s="1030"/>
      <c r="J51" s="544" t="s">
        <v>3</v>
      </c>
      <c r="K51" s="544" t="s">
        <v>1</v>
      </c>
      <c r="L51" s="29"/>
      <c r="M51" s="503"/>
      <c r="N51" s="504"/>
      <c r="O51" s="504"/>
      <c r="P51" s="504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J52*$K$42</f>
        <v>356.9436</v>
      </c>
      <c r="L52" s="29"/>
      <c r="M52" s="1102" t="s">
        <v>313</v>
      </c>
      <c r="N52" s="1103"/>
      <c r="O52" s="568"/>
      <c r="P52" s="568"/>
      <c r="Q52" s="504"/>
    </row>
    <row r="53" spans="2:17" s="17" customFormat="1" ht="14.25" customHeigh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J53*$K$42</f>
        <v>44.61795</v>
      </c>
      <c r="L53" s="29"/>
      <c r="M53" s="1104"/>
      <c r="N53" s="1105"/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1.4999999999999999E-2</v>
      </c>
      <c r="K54" s="273">
        <f t="shared" si="4"/>
        <v>26.770769999999995</v>
      </c>
      <c r="L54" s="29"/>
      <c r="M54" s="569" t="s">
        <v>314</v>
      </c>
      <c r="N54" s="570">
        <v>25.5</v>
      </c>
      <c r="O54" s="568"/>
      <c r="P54" s="568"/>
      <c r="Q54" s="504"/>
    </row>
    <row r="55" spans="2:17" s="17" customFormat="1" ht="14.25" customHeigh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26.770769999999995</v>
      </c>
      <c r="L55" s="29"/>
      <c r="M55" s="569" t="s">
        <v>315</v>
      </c>
      <c r="N55" s="571">
        <v>15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17.847179999999998</v>
      </c>
      <c r="L56" s="29"/>
      <c r="M56" s="569" t="s">
        <v>316</v>
      </c>
      <c r="N56" s="570">
        <f>N54*N55</f>
        <v>382.5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10.708307999999999</v>
      </c>
      <c r="L57" s="29"/>
      <c r="M57" s="569" t="s">
        <v>317</v>
      </c>
      <c r="N57" s="570">
        <f>N56*5%</f>
        <v>19.125</v>
      </c>
      <c r="O57" s="572" t="s">
        <v>318</v>
      </c>
      <c r="P57" s="585" t="s">
        <v>316</v>
      </c>
      <c r="Q57" s="504"/>
    </row>
    <row r="58" spans="2:17" s="17" customForma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3.5694359999999996</v>
      </c>
      <c r="L58" s="29"/>
      <c r="M58" s="573" t="s">
        <v>319</v>
      </c>
      <c r="N58" s="574">
        <f>N56-N57</f>
        <v>363.375</v>
      </c>
      <c r="O58" s="575">
        <v>1</v>
      </c>
      <c r="P58" s="584">
        <f>O58*N58</f>
        <v>363.375</v>
      </c>
      <c r="Q58" s="504"/>
    </row>
    <row r="59" spans="2:17" s="17" customForma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142.77743999999998</v>
      </c>
      <c r="L59" s="29"/>
      <c r="M59" s="1066" t="s">
        <v>320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0.35300000000000004</v>
      </c>
      <c r="K60" s="521">
        <f>TRUNC(SUM(K52:K59),2)</f>
        <v>630</v>
      </c>
      <c r="L60" s="29"/>
      <c r="M60" s="576"/>
      <c r="N60" s="576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36" t="s">
        <v>321</v>
      </c>
      <c r="N61" s="1036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567" t="s">
        <v>1</v>
      </c>
      <c r="L62" s="29"/>
      <c r="M62" s="569" t="s">
        <v>322</v>
      </c>
      <c r="N62" s="577">
        <v>4</v>
      </c>
      <c r="O62" s="568"/>
      <c r="P62" s="568"/>
      <c r="Q62" s="504"/>
    </row>
    <row r="63" spans="2:17" s="17" customFormat="1" ht="13.5" customHeight="1">
      <c r="B63" s="548" t="s">
        <v>7</v>
      </c>
      <c r="C63" s="1091" t="s">
        <v>113</v>
      </c>
      <c r="D63" s="1092"/>
      <c r="E63" s="1092"/>
      <c r="F63" s="1092"/>
      <c r="G63" s="1092"/>
      <c r="H63" s="1092"/>
      <c r="I63" s="1092"/>
      <c r="J63" s="1093"/>
      <c r="K63" s="549">
        <f>P67</f>
        <v>37.628400000000013</v>
      </c>
      <c r="L63" s="29"/>
      <c r="M63" s="569" t="s">
        <v>323</v>
      </c>
      <c r="N63" s="577">
        <v>2</v>
      </c>
      <c r="O63" s="568"/>
      <c r="P63" s="568"/>
      <c r="Q63" s="504"/>
    </row>
    <row r="64" spans="2:17" s="17" customFormat="1" ht="13.5" customHeight="1">
      <c r="B64" s="548" t="s">
        <v>8</v>
      </c>
      <c r="C64" s="1091" t="s">
        <v>173</v>
      </c>
      <c r="D64" s="1092"/>
      <c r="E64" s="1092"/>
      <c r="F64" s="1092"/>
      <c r="G64" s="1092"/>
      <c r="H64" s="1092"/>
      <c r="I64" s="1092"/>
      <c r="J64" s="1093"/>
      <c r="K64" s="271">
        <f>P58</f>
        <v>363.375</v>
      </c>
      <c r="L64" s="27"/>
      <c r="M64" s="569" t="s">
        <v>324</v>
      </c>
      <c r="N64" s="571">
        <v>15</v>
      </c>
      <c r="O64" s="568"/>
      <c r="P64" s="568"/>
      <c r="Q64" s="504"/>
    </row>
    <row r="65" spans="2:17" s="17" customFormat="1" ht="13.5" customHeight="1">
      <c r="B65" s="548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95"/>
      <c r="K65" s="271">
        <f>N74</f>
        <v>108.23</v>
      </c>
      <c r="L65" s="27"/>
      <c r="M65" s="569" t="s">
        <v>325</v>
      </c>
      <c r="N65" s="577">
        <f>(N62*N63)*N64</f>
        <v>120</v>
      </c>
      <c r="O65" s="568"/>
      <c r="P65" s="568"/>
      <c r="Q65" s="504"/>
    </row>
    <row r="66" spans="2:17" s="17" customFormat="1" ht="14.25" customHeight="1">
      <c r="B66" s="548" t="s">
        <v>10</v>
      </c>
      <c r="C66" s="563" t="s">
        <v>291</v>
      </c>
      <c r="D66" s="564"/>
      <c r="E66" s="565"/>
      <c r="F66" s="565"/>
      <c r="G66" s="565"/>
      <c r="H66" s="565"/>
      <c r="I66" s="565"/>
      <c r="J66" s="566"/>
      <c r="K66" s="271"/>
      <c r="L66" s="27"/>
      <c r="M66" s="569" t="s">
        <v>326</v>
      </c>
      <c r="N66" s="577">
        <f>K33*6%</f>
        <v>82.371599999999987</v>
      </c>
      <c r="O66" s="572" t="s">
        <v>318</v>
      </c>
      <c r="P66" s="585" t="s">
        <v>316</v>
      </c>
      <c r="Q66" s="504"/>
    </row>
    <row r="67" spans="2:17" s="17" customForma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SUM(K63:K65)</f>
        <v>509.23340000000002</v>
      </c>
      <c r="L67" s="29"/>
      <c r="M67" s="573" t="s">
        <v>319</v>
      </c>
      <c r="N67" s="578">
        <f>N65-N66</f>
        <v>37.628400000000013</v>
      </c>
      <c r="O67" s="575">
        <v>1</v>
      </c>
      <c r="P67" s="584">
        <f>O67*N67</f>
        <v>37.628400000000013</v>
      </c>
      <c r="Q67" s="504"/>
    </row>
    <row r="68" spans="2:17" s="17" customForma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9"/>
      <c r="M68" s="1066" t="s">
        <v>327</v>
      </c>
      <c r="N68" s="1066"/>
      <c r="O68" s="568"/>
      <c r="P68" s="568"/>
      <c r="Q68" s="504"/>
    </row>
    <row r="69" spans="2:17" s="17" customFormat="1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9"/>
      <c r="M69" s="568"/>
      <c r="N69" s="568"/>
      <c r="O69" s="568"/>
      <c r="P69" s="568"/>
      <c r="Q69" s="504"/>
    </row>
    <row r="70" spans="2:17" s="17" customFormat="1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544" t="s">
        <v>1</v>
      </c>
      <c r="L70" s="29"/>
      <c r="M70" s="1067" t="s">
        <v>328</v>
      </c>
      <c r="N70" s="1067"/>
      <c r="O70" s="568"/>
      <c r="P70" s="568"/>
      <c r="Q70" s="504"/>
    </row>
    <row r="71" spans="2:17" s="17" customFormat="1">
      <c r="B71" s="540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346.9491792</v>
      </c>
      <c r="L71" s="29"/>
      <c r="M71" s="569" t="s">
        <v>329</v>
      </c>
      <c r="N71" s="579">
        <v>109.23</v>
      </c>
      <c r="O71" s="568"/>
      <c r="P71" s="568"/>
      <c r="Q71" s="504"/>
    </row>
    <row r="72" spans="2:17" s="17" customFormat="1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630</v>
      </c>
      <c r="L72" s="29"/>
      <c r="M72" s="569" t="s">
        <v>330</v>
      </c>
      <c r="N72" s="579">
        <v>1</v>
      </c>
      <c r="O72" s="568"/>
      <c r="P72" s="568"/>
      <c r="Q72" s="504"/>
    </row>
    <row r="73" spans="2:17" s="17" customFormat="1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509.23340000000002</v>
      </c>
      <c r="L73" s="29"/>
      <c r="M73" s="569" t="s">
        <v>331</v>
      </c>
      <c r="N73" s="580">
        <v>1</v>
      </c>
      <c r="O73" s="568"/>
      <c r="P73" s="568"/>
      <c r="Q73" s="504"/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1486.18</v>
      </c>
      <c r="L74" s="29"/>
      <c r="M74" s="581" t="s">
        <v>332</v>
      </c>
      <c r="N74" s="583">
        <f>(N71-N72)*N73</f>
        <v>108.23</v>
      </c>
      <c r="O74" s="582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1066" t="s">
        <v>333</v>
      </c>
      <c r="N75" s="1066"/>
      <c r="O75" s="582"/>
      <c r="P75" s="568"/>
      <c r="Q75" s="504"/>
    </row>
    <row r="76" spans="2:17" s="17" customFormat="1">
      <c r="B76" s="545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545" t="s">
        <v>3</v>
      </c>
      <c r="K76" s="545" t="s">
        <v>1</v>
      </c>
      <c r="L76" s="29"/>
      <c r="M76" s="503"/>
      <c r="N76" s="504"/>
      <c r="O76" s="504"/>
      <c r="P76" s="504"/>
      <c r="Q76" s="504"/>
    </row>
    <row r="77" spans="2:17" s="17" customFormat="1">
      <c r="B77" s="545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416">
        <v>4.4999999999999997E-3</v>
      </c>
      <c r="K77" s="246">
        <f>K42*J77</f>
        <v>8.0312309999999982</v>
      </c>
      <c r="L77" s="29"/>
      <c r="M77" s="503"/>
      <c r="N77" s="504"/>
      <c r="O77" s="504"/>
      <c r="P77" s="504"/>
      <c r="Q77" s="504"/>
    </row>
    <row r="78" spans="2:17" s="17" customFormat="1">
      <c r="B78" s="545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3.5999999999999997E-4</v>
      </c>
      <c r="K78" s="242">
        <f>J78*K42</f>
        <v>0.64249847999999987</v>
      </c>
      <c r="L78" s="29"/>
      <c r="M78" s="503"/>
      <c r="N78" s="504"/>
      <c r="O78" s="504"/>
      <c r="P78" s="504"/>
      <c r="Q78" s="504"/>
    </row>
    <row r="79" spans="2:17" s="17" customFormat="1">
      <c r="B79" s="545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0.02</v>
      </c>
      <c r="K79" s="242">
        <f>J79*K41</f>
        <v>35.694359999999996</v>
      </c>
      <c r="L79" s="29"/>
      <c r="M79" s="503"/>
      <c r="N79" s="504"/>
      <c r="O79" s="504"/>
      <c r="P79" s="504"/>
      <c r="Q79" s="504"/>
    </row>
    <row r="80" spans="2:17" s="17" customFormat="1">
      <c r="B80" s="545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J80*K41</f>
        <v>34.702849999999998</v>
      </c>
      <c r="L80" s="29"/>
      <c r="M80" s="503"/>
      <c r="N80" s="504"/>
      <c r="O80" s="504"/>
      <c r="P80" s="504"/>
      <c r="Q80" s="504"/>
    </row>
    <row r="81" spans="2:17" s="17" customFormat="1">
      <c r="B81" s="545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6.8638888888888899E-3</v>
      </c>
      <c r="K81" s="242">
        <f>J81*K41</f>
        <v>12.250106050000001</v>
      </c>
      <c r="L81" s="29"/>
      <c r="M81" s="503"/>
      <c r="N81" s="504"/>
      <c r="O81" s="504"/>
      <c r="P81" s="504"/>
      <c r="Q81" s="504"/>
    </row>
    <row r="82" spans="2:17" s="17" customFormat="1">
      <c r="B82" s="545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0.02</v>
      </c>
      <c r="K82" s="242">
        <f>J82*K41</f>
        <v>35.694359999999996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7.1168333333333333E-2</v>
      </c>
      <c r="K83" s="260">
        <f>TRUNC(SUM(K77:K82),2)</f>
        <v>127.01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545" t="s">
        <v>3</v>
      </c>
      <c r="K86" s="545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545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f>1/12</f>
        <v>8.3333333333333329E-2</v>
      </c>
      <c r="K87" s="242">
        <f>$K$41*J87</f>
        <v>148.72649999999999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6">
        <f t="shared" ref="K88:K92" si="5">$K$41*J88</f>
        <v>8.0312309999999982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2.0000000000000001E-4</v>
      </c>
      <c r="K89" s="246">
        <f t="shared" si="5"/>
        <v>0.35694359999999997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2.9999999999999997E-4</v>
      </c>
      <c r="K90" s="246">
        <f t="shared" si="5"/>
        <v>0.53541539999999987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0</v>
      </c>
      <c r="K91" s="246">
        <f t="shared" si="5"/>
        <v>0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6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8.8333333333333333E-2</v>
      </c>
      <c r="K93" s="260">
        <f>SUM(K87:K92)</f>
        <v>157.65008999999998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544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545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f>((K33+K34)/192)*1.5*15</f>
        <v>209.14664062499997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209.14664062499997</v>
      </c>
      <c r="L97" s="29"/>
      <c r="M97" s="503"/>
      <c r="N97" s="504"/>
      <c r="O97" s="504"/>
      <c r="P97" s="504"/>
      <c r="Q97" s="504"/>
    </row>
    <row r="98" spans="2:17" s="17" customFormat="1">
      <c r="B98" s="541"/>
      <c r="C98" s="542"/>
      <c r="D98" s="542"/>
      <c r="E98" s="542"/>
      <c r="F98" s="542"/>
      <c r="G98" s="542"/>
      <c r="H98" s="542"/>
      <c r="I98" s="542"/>
      <c r="J98" s="542"/>
      <c r="K98" s="543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544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545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157.65008999999998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209.14664062499997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366.79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0.70690166666666665</v>
      </c>
      <c r="K104" s="520">
        <f>K93+K83+K60+K49</f>
        <v>1261.6092692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544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544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545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56.916666666666664</v>
      </c>
      <c r="L108" s="29"/>
      <c r="M108" s="503"/>
      <c r="N108" s="504"/>
      <c r="O108" s="504"/>
      <c r="P108" s="504"/>
      <c r="Q108" s="504"/>
    </row>
    <row r="109" spans="2:17" s="17" customFormat="1">
      <c r="B109" s="545" t="s">
        <v>8</v>
      </c>
      <c r="C109" s="1038" t="s">
        <v>345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Q23</f>
        <v>65.5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346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Q31</f>
        <v>20.8</v>
      </c>
      <c r="L110" s="29"/>
      <c r="M110" s="503"/>
      <c r="N110" s="504"/>
      <c r="O110" s="504"/>
      <c r="P110" s="504"/>
      <c r="Q110" s="504"/>
    </row>
    <row r="111" spans="2:17" s="17" customFormat="1">
      <c r="B111" s="1083" t="s">
        <v>70</v>
      </c>
      <c r="C111" s="1083"/>
      <c r="D111" s="1083"/>
      <c r="E111" s="1083"/>
      <c r="F111" s="1083"/>
      <c r="G111" s="1083"/>
      <c r="H111" s="1083"/>
      <c r="I111" s="1083"/>
      <c r="J111" s="419" t="s">
        <v>0</v>
      </c>
      <c r="K111" s="415">
        <f>TRUNC(SUM(K108:K110),2)</f>
        <v>143.21</v>
      </c>
      <c r="L111" s="29"/>
      <c r="M111" s="503"/>
      <c r="N111" s="504"/>
      <c r="O111" s="504"/>
      <c r="P111" s="504"/>
      <c r="Q111" s="504"/>
    </row>
    <row r="112" spans="2:17" s="17" customFormat="1">
      <c r="B112" s="1084" t="s">
        <v>71</v>
      </c>
      <c r="C112" s="1084"/>
      <c r="D112" s="1084"/>
      <c r="E112" s="1084"/>
      <c r="F112" s="1084"/>
      <c r="G112" s="1084"/>
      <c r="H112" s="1084"/>
      <c r="I112" s="1084"/>
      <c r="J112" s="1084"/>
      <c r="K112" s="1084"/>
      <c r="L112" s="29"/>
      <c r="M112" s="503"/>
      <c r="N112" s="504"/>
      <c r="O112" s="504"/>
      <c r="P112" s="504"/>
      <c r="Q112" s="504"/>
    </row>
    <row r="113" spans="2:18" s="17" customFormat="1">
      <c r="B113" s="545">
        <v>6</v>
      </c>
      <c r="C113" s="1085" t="s">
        <v>18</v>
      </c>
      <c r="D113" s="1085"/>
      <c r="E113" s="1085"/>
      <c r="F113" s="1085"/>
      <c r="G113" s="1085"/>
      <c r="H113" s="1085"/>
      <c r="I113" s="1085"/>
      <c r="J113" s="545" t="s">
        <v>3</v>
      </c>
      <c r="K113" s="545" t="s">
        <v>1</v>
      </c>
      <c r="L113" s="29"/>
      <c r="M113" s="503"/>
      <c r="N113" s="504"/>
      <c r="O113" s="504"/>
      <c r="P113" s="504"/>
      <c r="Q113" s="504"/>
    </row>
    <row r="114" spans="2:18" s="17" customFormat="1">
      <c r="B114" s="545" t="s">
        <v>7</v>
      </c>
      <c r="C114" s="1044" t="s">
        <v>21</v>
      </c>
      <c r="D114" s="1044"/>
      <c r="E114" s="1044"/>
      <c r="F114" s="1044"/>
      <c r="G114" s="1044"/>
      <c r="H114" s="1044"/>
      <c r="I114" s="1044"/>
      <c r="J114" s="411">
        <v>0.1</v>
      </c>
      <c r="K114" s="355">
        <f>TRUNC(J114*K139,2)</f>
        <v>390.79</v>
      </c>
      <c r="L114" s="29"/>
      <c r="M114" s="503"/>
      <c r="N114" s="504"/>
      <c r="O114" s="504"/>
      <c r="P114" s="504"/>
      <c r="Q114" s="504"/>
      <c r="R114" s="128"/>
    </row>
    <row r="115" spans="2:18" s="17" customFormat="1">
      <c r="B115" s="243" t="s">
        <v>8</v>
      </c>
      <c r="C115" s="1044" t="s">
        <v>4</v>
      </c>
      <c r="D115" s="1044"/>
      <c r="E115" s="1044"/>
      <c r="F115" s="1044"/>
      <c r="G115" s="1044"/>
      <c r="H115" s="1044"/>
      <c r="I115" s="1044"/>
      <c r="J115" s="411">
        <v>9.6582000000000001E-2</v>
      </c>
      <c r="K115" s="355">
        <f>TRUNC(J115*(K114+K139),2)</f>
        <v>415.17</v>
      </c>
      <c r="M115" s="503"/>
      <c r="N115" s="504"/>
      <c r="O115" s="504"/>
      <c r="P115" s="504"/>
      <c r="Q115" s="504"/>
    </row>
    <row r="116" spans="2:18" s="17" customFormat="1">
      <c r="B116" s="534" t="s">
        <v>9</v>
      </c>
      <c r="C116" s="1086">
        <v>9.8000000000000007</v>
      </c>
      <c r="D116" s="1087"/>
      <c r="E116" s="1087"/>
      <c r="F116" s="1087"/>
      <c r="G116" s="1087"/>
      <c r="H116" s="1087"/>
      <c r="I116" s="1087"/>
      <c r="J116" s="1088"/>
      <c r="K116" s="1089"/>
      <c r="L116" s="25"/>
      <c r="M116" s="503"/>
      <c r="N116" s="504"/>
      <c r="O116" s="504"/>
      <c r="P116" s="504"/>
      <c r="Q116" s="504"/>
    </row>
    <row r="117" spans="2:18" s="17" customFormat="1">
      <c r="B117" s="243" t="s">
        <v>29</v>
      </c>
      <c r="C117" s="1044" t="s">
        <v>82</v>
      </c>
      <c r="D117" s="1044"/>
      <c r="E117" s="1044"/>
      <c r="F117" s="1044"/>
      <c r="G117" s="1044"/>
      <c r="H117" s="1044"/>
      <c r="I117" s="1044"/>
      <c r="J117" s="245">
        <v>6.4999999999999997E-3</v>
      </c>
      <c r="K117" s="426">
        <f>TRUNC(J117*K128,2)</f>
        <v>33.54</v>
      </c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77</v>
      </c>
      <c r="D118" s="1044"/>
      <c r="E118" s="1044"/>
      <c r="F118" s="1044"/>
      <c r="G118" s="1044"/>
      <c r="H118" s="1044"/>
      <c r="I118" s="1044"/>
      <c r="J118" s="245">
        <v>0.03</v>
      </c>
      <c r="K118" s="426">
        <f>TRUNC(J118*K128,2)</f>
        <v>154.80000000000001</v>
      </c>
      <c r="L118" s="25">
        <f>K143</f>
        <v>10320.439770114943</v>
      </c>
      <c r="M118" s="503"/>
      <c r="N118" s="504"/>
      <c r="O118" s="504"/>
      <c r="P118" s="504"/>
      <c r="Q118" s="504"/>
    </row>
    <row r="119" spans="2:18" s="17" customFormat="1">
      <c r="B119" s="243" t="s">
        <v>30</v>
      </c>
      <c r="C119" s="1044" t="s">
        <v>80</v>
      </c>
      <c r="D119" s="1044"/>
      <c r="E119" s="1044"/>
      <c r="F119" s="1044"/>
      <c r="G119" s="1044"/>
      <c r="H119" s="1044"/>
      <c r="I119" s="1044"/>
      <c r="J119" s="247" t="s">
        <v>79</v>
      </c>
      <c r="K119" s="426">
        <v>0</v>
      </c>
      <c r="M119" s="503"/>
      <c r="N119" s="504"/>
      <c r="O119" s="504"/>
      <c r="P119" s="504"/>
      <c r="Q119" s="504"/>
    </row>
    <row r="120" spans="2:18" s="17" customFormat="1">
      <c r="B120" s="243" t="s">
        <v>31</v>
      </c>
      <c r="C120" s="1044" t="s">
        <v>78</v>
      </c>
      <c r="D120" s="1044"/>
      <c r="E120" s="1044"/>
      <c r="F120" s="1044"/>
      <c r="G120" s="1044"/>
      <c r="H120" s="1044"/>
      <c r="I120" s="1044"/>
      <c r="J120" s="245">
        <v>0.05</v>
      </c>
      <c r="K120" s="426">
        <f>TRUNC(J120*K128,2)</f>
        <v>258.01</v>
      </c>
      <c r="M120" s="503"/>
      <c r="N120" s="504"/>
      <c r="O120" s="504"/>
      <c r="P120" s="504"/>
      <c r="Q120" s="504"/>
    </row>
    <row r="121" spans="2:18" s="17" customFormat="1">
      <c r="B121" s="1080" t="s">
        <v>72</v>
      </c>
      <c r="C121" s="1080"/>
      <c r="D121" s="1080"/>
      <c r="E121" s="1080"/>
      <c r="F121" s="1080"/>
      <c r="G121" s="1080"/>
      <c r="H121" s="1080"/>
      <c r="I121" s="1080"/>
      <c r="J121" s="420">
        <f>SUM(J114:J120)</f>
        <v>0.283082</v>
      </c>
      <c r="K121" s="523">
        <f>TRUNC(SUM(K114:K120),2)</f>
        <v>1252.31</v>
      </c>
      <c r="M121" s="503"/>
      <c r="N121" s="504"/>
      <c r="O121" s="504"/>
      <c r="P121" s="504"/>
      <c r="Q121" s="504"/>
      <c r="R121" s="127"/>
    </row>
    <row r="122" spans="2:18" s="17" customFormat="1">
      <c r="B122" s="291"/>
      <c r="C122" s="542"/>
      <c r="D122" s="1081"/>
      <c r="E122" s="1081"/>
      <c r="F122" s="1081"/>
      <c r="G122" s="1081"/>
      <c r="H122" s="1081"/>
      <c r="I122" s="1081"/>
      <c r="J122" s="1081"/>
      <c r="K122" s="1082"/>
      <c r="M122" s="503"/>
      <c r="N122" s="504"/>
      <c r="O122" s="504"/>
      <c r="P122" s="504"/>
      <c r="Q122" s="504"/>
    </row>
    <row r="123" spans="2:18" s="17" customFormat="1">
      <c r="B123" s="300" t="s">
        <v>32</v>
      </c>
      <c r="C123" s="301"/>
      <c r="D123" s="1071" t="s">
        <v>33</v>
      </c>
      <c r="E123" s="1071"/>
      <c r="F123" s="1071"/>
      <c r="G123" s="1071"/>
      <c r="H123" s="1071"/>
      <c r="I123" s="1072"/>
      <c r="J123" s="1073">
        <f>TRUNC(J117+J118+J120,4)</f>
        <v>8.6499999999999994E-2</v>
      </c>
      <c r="K123" s="1074"/>
      <c r="M123" s="503"/>
      <c r="N123" s="504"/>
      <c r="O123" s="504"/>
      <c r="P123" s="504"/>
      <c r="Q123" s="504"/>
    </row>
    <row r="124" spans="2:18" s="17" customFormat="1">
      <c r="B124" s="233"/>
      <c r="C124" s="302"/>
      <c r="D124" s="1077">
        <v>100</v>
      </c>
      <c r="E124" s="1078"/>
      <c r="F124" s="1078"/>
      <c r="G124" s="1078"/>
      <c r="H124" s="1078"/>
      <c r="I124" s="1079"/>
      <c r="J124" s="1075"/>
      <c r="K124" s="1076"/>
      <c r="M124" s="503"/>
      <c r="N124" s="504"/>
      <c r="O124" s="504"/>
      <c r="P124" s="504"/>
      <c r="Q124" s="504"/>
    </row>
    <row r="125" spans="2:18" s="17" customFormat="1">
      <c r="B125" s="311"/>
      <c r="C125" s="310"/>
      <c r="D125" s="535"/>
      <c r="E125" s="535"/>
      <c r="F125" s="535"/>
      <c r="G125" s="535"/>
      <c r="H125" s="535"/>
      <c r="I125" s="536"/>
      <c r="J125" s="537"/>
      <c r="K125" s="413"/>
      <c r="M125" s="503"/>
      <c r="N125" s="504"/>
      <c r="O125" s="504"/>
      <c r="P125" s="504"/>
      <c r="Q125" s="504"/>
    </row>
    <row r="126" spans="2:18" s="17" customFormat="1">
      <c r="B126" s="233" t="s">
        <v>34</v>
      </c>
      <c r="C126" s="302"/>
      <c r="D126" s="1078" t="s">
        <v>73</v>
      </c>
      <c r="E126" s="1078"/>
      <c r="F126" s="1078"/>
      <c r="G126" s="1078"/>
      <c r="H126" s="1078"/>
      <c r="I126" s="1079"/>
      <c r="J126" s="538"/>
      <c r="K126" s="429">
        <f>TRUNC(K139+K114+K115,2)</f>
        <v>4713.87</v>
      </c>
      <c r="M126" s="503"/>
      <c r="N126" s="504"/>
      <c r="O126" s="504"/>
      <c r="P126" s="504"/>
      <c r="Q126" s="504"/>
    </row>
    <row r="127" spans="2:18" s="17" customFormat="1">
      <c r="B127" s="300"/>
      <c r="C127" s="301"/>
      <c r="D127" s="535"/>
      <c r="E127" s="535"/>
      <c r="F127" s="535"/>
      <c r="G127" s="535"/>
      <c r="H127" s="535"/>
      <c r="I127" s="536"/>
      <c r="J127" s="537"/>
      <c r="K127" s="414"/>
      <c r="M127" s="503"/>
      <c r="N127" s="504"/>
      <c r="O127" s="504"/>
      <c r="P127" s="504"/>
      <c r="Q127" s="504"/>
    </row>
    <row r="128" spans="2:18" s="17" customFormat="1">
      <c r="B128" s="233" t="s">
        <v>35</v>
      </c>
      <c r="C128" s="302"/>
      <c r="D128" s="1078" t="s">
        <v>36</v>
      </c>
      <c r="E128" s="1078"/>
      <c r="F128" s="1078"/>
      <c r="G128" s="1078"/>
      <c r="H128" s="1078"/>
      <c r="I128" s="1079"/>
      <c r="J128" s="538"/>
      <c r="K128" s="429">
        <f>K126/(1-J123)</f>
        <v>5160.2298850574716</v>
      </c>
      <c r="M128" s="503"/>
      <c r="N128" s="504"/>
      <c r="O128" s="504"/>
      <c r="P128" s="504"/>
      <c r="Q128" s="504"/>
    </row>
    <row r="129" spans="2:17" s="17" customFormat="1">
      <c r="B129" s="546"/>
      <c r="C129" s="301"/>
      <c r="D129" s="535"/>
      <c r="E129" s="535"/>
      <c r="F129" s="535"/>
      <c r="G129" s="535"/>
      <c r="H129" s="535"/>
      <c r="I129" s="536"/>
      <c r="J129" s="537"/>
      <c r="K129" s="414"/>
      <c r="M129" s="503"/>
      <c r="N129" s="504"/>
      <c r="O129" s="504"/>
      <c r="P129" s="504"/>
      <c r="Q129" s="504"/>
    </row>
    <row r="130" spans="2:17" s="17" customFormat="1">
      <c r="B130" s="291"/>
      <c r="C130" s="302"/>
      <c r="D130" s="1078" t="s">
        <v>37</v>
      </c>
      <c r="E130" s="1078"/>
      <c r="F130" s="1078"/>
      <c r="G130" s="1078"/>
      <c r="H130" s="1078"/>
      <c r="I130" s="1079"/>
      <c r="J130" s="538"/>
      <c r="K130" s="429">
        <f>TRUNC(K128-K126,2)</f>
        <v>446.35</v>
      </c>
      <c r="M130" s="503"/>
      <c r="N130" s="504"/>
      <c r="O130" s="504"/>
      <c r="P130" s="504"/>
      <c r="Q130" s="504"/>
    </row>
    <row r="131" spans="2:17" s="17" customFormat="1">
      <c r="B131" s="291"/>
      <c r="C131" s="542"/>
      <c r="D131" s="542"/>
      <c r="E131" s="542"/>
      <c r="F131" s="542"/>
      <c r="G131" s="542"/>
      <c r="H131" s="542"/>
      <c r="I131" s="542"/>
      <c r="J131" s="542"/>
      <c r="K131" s="295"/>
      <c r="M131" s="503"/>
      <c r="N131" s="504"/>
      <c r="O131" s="504"/>
      <c r="P131" s="504"/>
      <c r="Q131" s="504"/>
    </row>
    <row r="132" spans="2:17" s="17" customFormat="1">
      <c r="B132" s="1064" t="s">
        <v>83</v>
      </c>
      <c r="C132" s="1064"/>
      <c r="D132" s="1064"/>
      <c r="E132" s="1064"/>
      <c r="F132" s="1064"/>
      <c r="G132" s="1064"/>
      <c r="H132" s="1064"/>
      <c r="I132" s="1064"/>
      <c r="J132" s="1064"/>
      <c r="K132" s="1064"/>
      <c r="M132" s="503"/>
      <c r="N132" s="504"/>
      <c r="O132" s="504"/>
      <c r="P132" s="504"/>
      <c r="Q132" s="504"/>
    </row>
    <row r="133" spans="2:17" s="17" customFormat="1">
      <c r="B133" s="1065" t="s">
        <v>22</v>
      </c>
      <c r="C133" s="1065"/>
      <c r="D133" s="1065"/>
      <c r="E133" s="1065"/>
      <c r="F133" s="1065"/>
      <c r="G133" s="1065"/>
      <c r="H133" s="1065"/>
      <c r="I133" s="1065"/>
      <c r="J133" s="1065"/>
      <c r="K133" s="534" t="s">
        <v>1</v>
      </c>
      <c r="M133" s="503"/>
      <c r="N133" s="504"/>
      <c r="O133" s="504"/>
      <c r="P133" s="504"/>
      <c r="Q133" s="504"/>
    </row>
    <row r="134" spans="2:17" s="17" customFormat="1">
      <c r="B134" s="238" t="s">
        <v>7</v>
      </c>
      <c r="C134" s="1044" t="str">
        <f>B31</f>
        <v>MÓDULO 1 - COMPOSIÇÃO DA REMUNERAÇÃO</v>
      </c>
      <c r="D134" s="1044"/>
      <c r="E134" s="1044"/>
      <c r="F134" s="1044"/>
      <c r="G134" s="1044"/>
      <c r="H134" s="1044"/>
      <c r="I134" s="1044"/>
      <c r="J134" s="1044"/>
      <c r="K134" s="355">
        <f>K42</f>
        <v>1784.7179999999998</v>
      </c>
      <c r="M134" s="595">
        <v>1784.72</v>
      </c>
      <c r="N134" s="504"/>
      <c r="O134" s="504"/>
      <c r="P134" s="504"/>
      <c r="Q134" s="504"/>
    </row>
    <row r="135" spans="2:17" s="17" customFormat="1">
      <c r="B135" s="240" t="s">
        <v>8</v>
      </c>
      <c r="C135" s="1044" t="str">
        <f>B45</f>
        <v>MÓDULO 2 – ENCARGOS E BENEFÍCIOS ANUAIS, MENSAIS E DIÁRIOS</v>
      </c>
      <c r="D135" s="1044"/>
      <c r="E135" s="1044"/>
      <c r="F135" s="1044"/>
      <c r="G135" s="1044"/>
      <c r="H135" s="1044"/>
      <c r="I135" s="1044"/>
      <c r="J135" s="1044"/>
      <c r="K135" s="426">
        <f>K74</f>
        <v>1486.18</v>
      </c>
      <c r="M135" s="595">
        <v>1486.18</v>
      </c>
      <c r="N135" s="504"/>
      <c r="O135" s="504"/>
      <c r="P135" s="504"/>
      <c r="Q135" s="504"/>
    </row>
    <row r="136" spans="2:17" s="17" customFormat="1">
      <c r="B136" s="240" t="s">
        <v>9</v>
      </c>
      <c r="C136" s="1044" t="str">
        <f>B75</f>
        <v>MÓDULO 3 – PROVISÃO PARA RESCISÃO</v>
      </c>
      <c r="D136" s="1044"/>
      <c r="E136" s="1044"/>
      <c r="F136" s="1044"/>
      <c r="G136" s="1044"/>
      <c r="H136" s="1044"/>
      <c r="I136" s="1044"/>
      <c r="J136" s="1044"/>
      <c r="K136" s="426">
        <f>K83</f>
        <v>127.01</v>
      </c>
      <c r="M136" s="595">
        <v>127.01</v>
      </c>
      <c r="N136" s="504"/>
      <c r="O136" s="504"/>
      <c r="P136" s="504"/>
      <c r="Q136" s="504"/>
    </row>
    <row r="137" spans="2:17" s="17" customFormat="1">
      <c r="B137" s="238" t="s">
        <v>10</v>
      </c>
      <c r="C137" s="1044" t="str">
        <f>B85</f>
        <v>MÓDULO 4 – CUSTO DE REPOSIÇÃO DO PROFISSIONAL AUSENTE</v>
      </c>
      <c r="D137" s="1044"/>
      <c r="E137" s="1044"/>
      <c r="F137" s="1044"/>
      <c r="G137" s="1044"/>
      <c r="H137" s="1044"/>
      <c r="I137" s="1044"/>
      <c r="J137" s="1044"/>
      <c r="K137" s="426">
        <f>K103</f>
        <v>366.79</v>
      </c>
      <c r="M137" s="595">
        <v>366.79</v>
      </c>
      <c r="N137" s="504"/>
      <c r="O137" s="504"/>
      <c r="P137" s="504"/>
      <c r="Q137" s="504"/>
    </row>
    <row r="138" spans="2:17" s="17" customFormat="1" ht="15.75" thickBot="1">
      <c r="B138" s="424" t="s">
        <v>11</v>
      </c>
      <c r="C138" s="1061" t="str">
        <f>B106</f>
        <v>MÓDULO 5 – INSUMOS DIVERSOS</v>
      </c>
      <c r="D138" s="1061"/>
      <c r="E138" s="1061"/>
      <c r="F138" s="1061"/>
      <c r="G138" s="1061"/>
      <c r="H138" s="1061"/>
      <c r="I138" s="1061"/>
      <c r="J138" s="1061"/>
      <c r="K138" s="427">
        <f>K111</f>
        <v>143.21</v>
      </c>
      <c r="M138" s="595">
        <v>143.21</v>
      </c>
      <c r="N138" s="504"/>
      <c r="O138" s="504"/>
      <c r="P138" s="504"/>
      <c r="Q138" s="504"/>
    </row>
    <row r="139" spans="2:17" s="17" customFormat="1">
      <c r="B139" s="1062" t="s">
        <v>74</v>
      </c>
      <c r="C139" s="1063"/>
      <c r="D139" s="1063"/>
      <c r="E139" s="1063"/>
      <c r="F139" s="1063"/>
      <c r="G139" s="1063"/>
      <c r="H139" s="1063"/>
      <c r="I139" s="1063"/>
      <c r="J139" s="1063"/>
      <c r="K139" s="430">
        <f>TRUNC(SUM(K134:K138),2)+0.01</f>
        <v>3907.9100000000003</v>
      </c>
      <c r="M139" s="595">
        <f>M134+M135+M136+M137+M138</f>
        <v>3907.9100000000003</v>
      </c>
      <c r="N139" s="504"/>
      <c r="O139" s="504"/>
      <c r="P139" s="504"/>
      <c r="Q139" s="504"/>
    </row>
    <row r="140" spans="2:17" s="17" customFormat="1">
      <c r="B140" s="425" t="s">
        <v>13</v>
      </c>
      <c r="C140" s="1061" t="str">
        <f>B112</f>
        <v>MÓDULO 6 – CUSTOS INDIRETOS, TRIBUTOS E LUCRO</v>
      </c>
      <c r="D140" s="1061"/>
      <c r="E140" s="1061"/>
      <c r="F140" s="1061"/>
      <c r="G140" s="1061"/>
      <c r="H140" s="1061"/>
      <c r="I140" s="1061"/>
      <c r="J140" s="1061"/>
      <c r="K140" s="428">
        <f>K121</f>
        <v>1252.31</v>
      </c>
      <c r="M140" s="595">
        <v>1252.31</v>
      </c>
      <c r="N140" s="504"/>
      <c r="O140" s="504"/>
      <c r="P140" s="504"/>
      <c r="Q140" s="504"/>
    </row>
    <row r="141" spans="2:17" s="17" customFormat="1">
      <c r="B141" s="1064" t="s">
        <v>75</v>
      </c>
      <c r="C141" s="1064"/>
      <c r="D141" s="1064"/>
      <c r="E141" s="1064"/>
      <c r="F141" s="1064"/>
      <c r="G141" s="1064"/>
      <c r="H141" s="1064"/>
      <c r="I141" s="1064"/>
      <c r="J141" s="1064"/>
      <c r="K141" s="347">
        <f>(K139+K115+K114)/(1-J123)-0.01</f>
        <v>5160.2198850574714</v>
      </c>
      <c r="L141" s="16"/>
      <c r="M141" s="595">
        <f>M139+M140</f>
        <v>5160.22</v>
      </c>
      <c r="N141" s="504"/>
      <c r="O141" s="504"/>
      <c r="P141" s="504"/>
      <c r="Q141" s="504"/>
    </row>
    <row r="142" spans="2:17" s="17" customFormat="1">
      <c r="B142" s="1064" t="s">
        <v>100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v>2</v>
      </c>
      <c r="M142" s="503">
        <v>2</v>
      </c>
      <c r="N142" s="504"/>
      <c r="O142" s="504"/>
      <c r="P142" s="504"/>
      <c r="Q142" s="504"/>
    </row>
    <row r="143" spans="2:17" s="17" customFormat="1">
      <c r="B143" s="1064" t="s">
        <v>143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f>K141*K142</f>
        <v>10320.439770114943</v>
      </c>
      <c r="M143" s="595">
        <f>M141*M142</f>
        <v>10320.44</v>
      </c>
      <c r="N143" s="504"/>
      <c r="O143" s="504"/>
      <c r="P143" s="504"/>
      <c r="Q143" s="504"/>
    </row>
    <row r="144" spans="2:17" s="29" customFormat="1">
      <c r="B144" s="1064" t="s">
        <v>122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v>1</v>
      </c>
      <c r="M144" s="503">
        <v>1</v>
      </c>
      <c r="N144" s="504"/>
      <c r="O144" s="504"/>
      <c r="P144" s="504"/>
      <c r="Q144" s="504"/>
    </row>
    <row r="145" spans="2:17" s="29" customFormat="1" ht="15" customHeight="1">
      <c r="B145" s="1064" t="s">
        <v>144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f>K143*K144</f>
        <v>10320.439770114943</v>
      </c>
      <c r="M145" s="595">
        <f>M143*M144</f>
        <v>10320.44</v>
      </c>
      <c r="N145" s="504"/>
      <c r="O145" s="504"/>
      <c r="P145" s="504"/>
      <c r="Q145" s="504"/>
    </row>
    <row r="146" spans="2:17" s="29" customFormat="1">
      <c r="B146" s="1064" t="s">
        <v>145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K145*12</f>
        <v>123845.27724137931</v>
      </c>
      <c r="M146" s="503">
        <v>12</v>
      </c>
      <c r="N146" s="504"/>
      <c r="O146" s="504"/>
      <c r="P146" s="504"/>
      <c r="Q146" s="504"/>
    </row>
    <row r="147" spans="2:17" s="29" customFormat="1">
      <c r="B147" s="234"/>
      <c r="C147" s="421"/>
      <c r="D147" s="421"/>
      <c r="E147" s="421"/>
      <c r="F147" s="421"/>
      <c r="G147" s="421"/>
      <c r="H147" s="421"/>
      <c r="I147" s="421"/>
      <c r="J147" s="421"/>
      <c r="K147" s="421"/>
      <c r="M147" s="595">
        <f>M145*M146</f>
        <v>123845.28</v>
      </c>
      <c r="N147" s="504"/>
      <c r="O147" s="504"/>
      <c r="P147" s="504"/>
      <c r="Q147" s="504"/>
    </row>
    <row r="148" spans="2:17" s="423" customFormat="1" ht="15.75">
      <c r="B148" s="422"/>
      <c r="C148" s="422"/>
      <c r="D148" s="422"/>
      <c r="E148" s="422"/>
      <c r="F148" s="422"/>
      <c r="G148" s="422"/>
      <c r="H148" s="533"/>
      <c r="I148" s="533"/>
      <c r="J148" s="533"/>
      <c r="K148" s="533"/>
      <c r="M148" s="503"/>
      <c r="N148" s="504"/>
      <c r="O148" s="504"/>
      <c r="P148" s="504"/>
      <c r="Q148" s="504"/>
    </row>
    <row r="149" spans="2:17" s="423" customFormat="1" ht="15.75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ht="15.75">
      <c r="H150" s="533"/>
      <c r="I150" s="533"/>
      <c r="J150" s="533"/>
      <c r="K150" s="533"/>
    </row>
    <row r="151" spans="2:17" ht="15.75">
      <c r="H151" s="1059" t="s">
        <v>241</v>
      </c>
      <c r="I151" s="1059"/>
      <c r="J151" s="1059"/>
      <c r="K151" s="1059"/>
    </row>
    <row r="152" spans="2:17" ht="15.75">
      <c r="H152" s="1060" t="s">
        <v>242</v>
      </c>
      <c r="I152" s="1060"/>
      <c r="J152" s="1060"/>
      <c r="K152" s="1060"/>
    </row>
  </sheetData>
  <mergeCells count="162">
    <mergeCell ref="H151:K151"/>
    <mergeCell ref="H152:K152"/>
    <mergeCell ref="B141:J141"/>
    <mergeCell ref="B142:J142"/>
    <mergeCell ref="B143:J143"/>
    <mergeCell ref="B144:J144"/>
    <mergeCell ref="B145:J145"/>
    <mergeCell ref="B146:J146"/>
    <mergeCell ref="C135:J135"/>
    <mergeCell ref="C136:J136"/>
    <mergeCell ref="C137:J137"/>
    <mergeCell ref="C138:J138"/>
    <mergeCell ref="B139:J139"/>
    <mergeCell ref="C140:J140"/>
    <mergeCell ref="D126:I126"/>
    <mergeCell ref="D128:I128"/>
    <mergeCell ref="D130:I130"/>
    <mergeCell ref="B132:K132"/>
    <mergeCell ref="B133:J133"/>
    <mergeCell ref="C134:J134"/>
    <mergeCell ref="C119:I119"/>
    <mergeCell ref="C120:I120"/>
    <mergeCell ref="B121:I121"/>
    <mergeCell ref="D122:K122"/>
    <mergeCell ref="D123:I123"/>
    <mergeCell ref="J123:K124"/>
    <mergeCell ref="D124:I124"/>
    <mergeCell ref="C113:I113"/>
    <mergeCell ref="C114:I114"/>
    <mergeCell ref="C115:I115"/>
    <mergeCell ref="C116:K116"/>
    <mergeCell ref="C117:I117"/>
    <mergeCell ref="C118:I118"/>
    <mergeCell ref="C107:J107"/>
    <mergeCell ref="C108:I108"/>
    <mergeCell ref="C109:I109"/>
    <mergeCell ref="C110:I110"/>
    <mergeCell ref="B111:I111"/>
    <mergeCell ref="B112:K112"/>
    <mergeCell ref="C101:J101"/>
    <mergeCell ref="C102:J102"/>
    <mergeCell ref="B103:J103"/>
    <mergeCell ref="B104:I104"/>
    <mergeCell ref="B105:K105"/>
    <mergeCell ref="B106:K106"/>
    <mergeCell ref="B94:K94"/>
    <mergeCell ref="B95:J95"/>
    <mergeCell ref="C96:J96"/>
    <mergeCell ref="B97:J97"/>
    <mergeCell ref="B99:K99"/>
    <mergeCell ref="B100:J100"/>
    <mergeCell ref="C88:I88"/>
    <mergeCell ref="C89:I89"/>
    <mergeCell ref="C90:I90"/>
    <mergeCell ref="C91:I91"/>
    <mergeCell ref="C92:I92"/>
    <mergeCell ref="B93:I93"/>
    <mergeCell ref="C82:I82"/>
    <mergeCell ref="B83:I83"/>
    <mergeCell ref="C84:K84"/>
    <mergeCell ref="B85:K85"/>
    <mergeCell ref="B86:I86"/>
    <mergeCell ref="C87:I87"/>
    <mergeCell ref="C76:I76"/>
    <mergeCell ref="C77:I77"/>
    <mergeCell ref="C78:I78"/>
    <mergeCell ref="C79:I79"/>
    <mergeCell ref="C80:I80"/>
    <mergeCell ref="C81:I81"/>
    <mergeCell ref="C71:J71"/>
    <mergeCell ref="C72:J72"/>
    <mergeCell ref="C73:J73"/>
    <mergeCell ref="C74:J74"/>
    <mergeCell ref="B75:K75"/>
    <mergeCell ref="M75:N75"/>
    <mergeCell ref="B67:J67"/>
    <mergeCell ref="C68:K68"/>
    <mergeCell ref="M68:N68"/>
    <mergeCell ref="B69:K69"/>
    <mergeCell ref="B70:J70"/>
    <mergeCell ref="M70:N70"/>
    <mergeCell ref="C61:K61"/>
    <mergeCell ref="M61:N61"/>
    <mergeCell ref="B62:J62"/>
    <mergeCell ref="C63:J63"/>
    <mergeCell ref="C64:J64"/>
    <mergeCell ref="C65:J65"/>
    <mergeCell ref="C56:I56"/>
    <mergeCell ref="C57:I57"/>
    <mergeCell ref="C58:I58"/>
    <mergeCell ref="C59:I59"/>
    <mergeCell ref="M59:N59"/>
    <mergeCell ref="B60:I60"/>
    <mergeCell ref="B51:I51"/>
    <mergeCell ref="C52:I52"/>
    <mergeCell ref="M52:N53"/>
    <mergeCell ref="C53:I53"/>
    <mergeCell ref="C54:I54"/>
    <mergeCell ref="C55:I55"/>
    <mergeCell ref="B45:K45"/>
    <mergeCell ref="B46:I46"/>
    <mergeCell ref="C47:I47"/>
    <mergeCell ref="C48:I48"/>
    <mergeCell ref="B49:I49"/>
    <mergeCell ref="B50:K50"/>
    <mergeCell ref="D39:I39"/>
    <mergeCell ref="C40:I40"/>
    <mergeCell ref="B41:J41"/>
    <mergeCell ref="B42:J42"/>
    <mergeCell ref="N42:Q42"/>
    <mergeCell ref="N43:Q43"/>
    <mergeCell ref="C33:I33"/>
    <mergeCell ref="C34:I34"/>
    <mergeCell ref="C35:I35"/>
    <mergeCell ref="C36:I36"/>
    <mergeCell ref="D37:I37"/>
    <mergeCell ref="D38:I38"/>
    <mergeCell ref="C28:J28"/>
    <mergeCell ref="C29:J29"/>
    <mergeCell ref="C30:K30"/>
    <mergeCell ref="B31:K31"/>
    <mergeCell ref="M31:P31"/>
    <mergeCell ref="C32:I32"/>
    <mergeCell ref="M23:P23"/>
    <mergeCell ref="B24:K24"/>
    <mergeCell ref="C25:J25"/>
    <mergeCell ref="M25:Q25"/>
    <mergeCell ref="C26:J26"/>
    <mergeCell ref="C27:J27"/>
    <mergeCell ref="B17:K17"/>
    <mergeCell ref="B19:G19"/>
    <mergeCell ref="I19:K19"/>
    <mergeCell ref="B20:G20"/>
    <mergeCell ref="I20:K20"/>
    <mergeCell ref="B22:K22"/>
    <mergeCell ref="C13:G13"/>
    <mergeCell ref="H13:K13"/>
    <mergeCell ref="M13:P13"/>
    <mergeCell ref="C14:G14"/>
    <mergeCell ref="H14:K14"/>
    <mergeCell ref="C15:G15"/>
    <mergeCell ref="H15:K15"/>
    <mergeCell ref="M15:Q15"/>
    <mergeCell ref="C8:G8"/>
    <mergeCell ref="H8:K8"/>
    <mergeCell ref="H9:K9"/>
    <mergeCell ref="B10:K10"/>
    <mergeCell ref="B11:K11"/>
    <mergeCell ref="C12:G12"/>
    <mergeCell ref="H12:K12"/>
    <mergeCell ref="B4:K4"/>
    <mergeCell ref="M4:Q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4" orientation="portrait" horizontalDpi="360" verticalDpi="360" r:id="rId1"/>
  <headerFooter>
    <oddHeader>&amp;L&amp;G&amp;R&amp;G</oddHeader>
  </headerFooter>
  <rowBreaks count="1" manualBreakCount="1">
    <brk id="83" min="1" max="10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B1:R152"/>
  <sheetViews>
    <sheetView view="pageBreakPreview" topLeftCell="A116" zoomScale="71" zoomScaleNormal="55" zoomScaleSheetLayoutView="71" workbookViewId="0">
      <selection activeCell="K147" sqref="K147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28.140625" style="236" customWidth="1"/>
    <col min="8" max="8" width="19.140625" style="236" customWidth="1"/>
    <col min="9" max="9" width="20.28515625" style="236" customWidth="1"/>
    <col min="10" max="10" width="11.140625" style="236" customWidth="1"/>
    <col min="11" max="11" width="17.5703125" style="236" customWidth="1"/>
    <col min="12" max="12" width="9" style="2" bestFit="1" customWidth="1"/>
    <col min="13" max="13" width="37.28515625" style="503" customWidth="1"/>
    <col min="14" max="14" width="13.85546875" style="504" customWidth="1"/>
    <col min="15" max="15" width="18" style="504" bestFit="1" customWidth="1"/>
    <col min="16" max="16" width="19.140625" style="504" customWidth="1"/>
    <col min="17" max="17" width="18.5703125" style="504" customWidth="1"/>
    <col min="18" max="18" width="9.5703125" style="2" bestFit="1" customWidth="1"/>
    <col min="19" max="16384" width="9.140625" style="2"/>
  </cols>
  <sheetData>
    <row r="1" spans="2:17" s="6" customFormat="1" ht="14.45" customHeight="1">
      <c r="B1" s="987" t="s">
        <v>308</v>
      </c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 t="str">
        <f>B1</f>
        <v>PREGÃO ELETRÔNICO Nº 02/2021 - PROCESSO: 10283-721.005/2021-37</v>
      </c>
      <c r="N1" s="988"/>
      <c r="O1" s="988"/>
      <c r="P1" s="988"/>
      <c r="Q1" s="988"/>
    </row>
    <row r="2" spans="2:17" s="6" customFormat="1" ht="12.75">
      <c r="B2" s="989" t="s">
        <v>139</v>
      </c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7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 t="s">
        <v>127</v>
      </c>
      <c r="K3" s="343" t="s">
        <v>309</v>
      </c>
      <c r="L3" s="5"/>
      <c r="M3" s="997"/>
      <c r="N3" s="997"/>
      <c r="O3" s="997"/>
      <c r="P3" s="997"/>
      <c r="Q3" s="997"/>
    </row>
    <row r="4" spans="2:17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7" s="6" customFormat="1" ht="12.75">
      <c r="B5" s="1014" t="s">
        <v>348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7" s="6" customFormat="1" ht="12.75">
      <c r="B6" s="552" t="s">
        <v>128</v>
      </c>
      <c r="C6" s="313" t="s">
        <v>129</v>
      </c>
      <c r="D6" s="314"/>
      <c r="E6" s="314"/>
      <c r="F6" s="314"/>
      <c r="G6" s="314"/>
      <c r="H6" s="1015" t="str">
        <f>K3</f>
        <v>14/04/2021 - 10:00H</v>
      </c>
      <c r="I6" s="1015"/>
      <c r="J6" s="1015"/>
      <c r="K6" s="1015"/>
      <c r="L6" s="5"/>
      <c r="M6" s="591" t="s">
        <v>118</v>
      </c>
      <c r="N6" s="322">
        <v>4</v>
      </c>
      <c r="O6" s="510">
        <v>60</v>
      </c>
      <c r="P6" s="322">
        <v>12</v>
      </c>
      <c r="Q6" s="592">
        <f>(N6*O6)/P6</f>
        <v>20</v>
      </c>
    </row>
    <row r="7" spans="2:17" s="6" customFormat="1" ht="12.75">
      <c r="B7" s="552" t="s">
        <v>8</v>
      </c>
      <c r="C7" s="1001" t="s">
        <v>130</v>
      </c>
      <c r="D7" s="1002"/>
      <c r="E7" s="1002"/>
      <c r="F7" s="1002"/>
      <c r="G7" s="1003"/>
      <c r="H7" s="1015" t="s">
        <v>350</v>
      </c>
      <c r="I7" s="1015"/>
      <c r="J7" s="1015"/>
      <c r="K7" s="1015"/>
      <c r="L7" s="5"/>
      <c r="M7" s="591" t="s">
        <v>334</v>
      </c>
      <c r="N7" s="322">
        <v>4</v>
      </c>
      <c r="O7" s="510">
        <v>60</v>
      </c>
      <c r="P7" s="322">
        <v>12</v>
      </c>
      <c r="Q7" s="592">
        <f>(N7*O7)/P7</f>
        <v>20</v>
      </c>
    </row>
    <row r="8" spans="2:17" s="6" customFormat="1" ht="12.75">
      <c r="B8" s="552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75</v>
      </c>
      <c r="P8" s="322">
        <v>12</v>
      </c>
      <c r="Q8" s="592">
        <f>O8/P8</f>
        <v>6.25</v>
      </c>
    </row>
    <row r="9" spans="2:17" s="6" customFormat="1" ht="12.75">
      <c r="B9" s="552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10</v>
      </c>
      <c r="O9" s="510">
        <v>8</v>
      </c>
      <c r="P9" s="322">
        <v>12</v>
      </c>
      <c r="Q9" s="592">
        <f>O9/P9</f>
        <v>0.66666666666666663</v>
      </c>
    </row>
    <row r="10" spans="2:17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20</v>
      </c>
      <c r="P10" s="322">
        <v>12</v>
      </c>
      <c r="Q10" s="592">
        <f t="shared" ref="Q10:Q11" si="0">(N10*O10)/P10</f>
        <v>3.3333333333333335</v>
      </c>
    </row>
    <row r="11" spans="2:17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119</v>
      </c>
      <c r="N11" s="322">
        <v>2</v>
      </c>
      <c r="O11" s="510">
        <v>25</v>
      </c>
      <c r="P11" s="322">
        <v>12</v>
      </c>
      <c r="Q11" s="592">
        <f t="shared" si="0"/>
        <v>4.166666666666667</v>
      </c>
    </row>
    <row r="12" spans="2:17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12 horas noturna 12x36 de segunda - feira a domingo</v>
      </c>
      <c r="I12" s="1010"/>
      <c r="J12" s="1010"/>
      <c r="K12" s="1010"/>
      <c r="L12" s="5"/>
      <c r="M12" s="591" t="s">
        <v>335</v>
      </c>
      <c r="N12" s="322">
        <v>2</v>
      </c>
      <c r="O12" s="510">
        <v>15</v>
      </c>
      <c r="P12" s="322">
        <v>12</v>
      </c>
      <c r="Q12" s="592">
        <f>(N12*O12)/P12</f>
        <v>2.5</v>
      </c>
    </row>
    <row r="13" spans="2:17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593">
        <f>Q6+Q7+Q8+Q9+Q10+Q11+Q12</f>
        <v>56.916666666666664</v>
      </c>
    </row>
    <row r="14" spans="2:17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7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43831</v>
      </c>
      <c r="I15" s="1024"/>
      <c r="J15" s="1024"/>
      <c r="K15" s="1024"/>
      <c r="L15" s="5"/>
      <c r="M15" s="986" t="s">
        <v>188</v>
      </c>
      <c r="N15" s="986"/>
      <c r="O15" s="986"/>
      <c r="P15" s="986"/>
      <c r="Q15" s="986"/>
    </row>
    <row r="16" spans="2:17" s="17" customFormat="1" ht="12.75">
      <c r="B16" s="291"/>
      <c r="C16" s="542"/>
      <c r="D16" s="539"/>
      <c r="E16" s="539"/>
      <c r="F16" s="539"/>
      <c r="G16" s="539"/>
      <c r="H16" s="539"/>
      <c r="I16" s="539"/>
      <c r="J16" s="539"/>
      <c r="K16" s="543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120</v>
      </c>
      <c r="N17" s="326">
        <v>1</v>
      </c>
      <c r="O17" s="515">
        <v>30</v>
      </c>
      <c r="P17" s="326">
        <v>12</v>
      </c>
      <c r="Q17" s="516">
        <f>(N17*O17)/P17</f>
        <v>2.5</v>
      </c>
    </row>
    <row r="18" spans="2:17" s="17" customFormat="1" ht="12.75">
      <c r="B18" s="291"/>
      <c r="C18" s="542"/>
      <c r="D18" s="539"/>
      <c r="E18" s="539"/>
      <c r="F18" s="539"/>
      <c r="G18" s="539"/>
      <c r="H18" s="539"/>
      <c r="I18" s="539"/>
      <c r="J18" s="542"/>
      <c r="K18" s="543"/>
      <c r="M18" s="327" t="s">
        <v>337</v>
      </c>
      <c r="N18" s="326">
        <v>1</v>
      </c>
      <c r="O18" s="515">
        <v>20</v>
      </c>
      <c r="P18" s="326">
        <v>12</v>
      </c>
      <c r="Q18" s="515">
        <f>N18*O18/P18</f>
        <v>1.6666666666666667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551" t="s">
        <v>26</v>
      </c>
      <c r="I19" s="1018" t="s">
        <v>347</v>
      </c>
      <c r="J19" s="1018"/>
      <c r="K19" s="1018"/>
      <c r="M19" s="328" t="s">
        <v>338</v>
      </c>
      <c r="N19" s="326">
        <v>2</v>
      </c>
      <c r="O19" s="515">
        <v>20</v>
      </c>
      <c r="P19" s="326">
        <v>12</v>
      </c>
      <c r="Q19" s="515">
        <f t="shared" ref="Q19" si="1">(N19*O19)/P19</f>
        <v>3.3333333333333335</v>
      </c>
    </row>
    <row r="20" spans="2:17" s="17" customFormat="1" ht="12.75">
      <c r="B20" s="1019" t="str">
        <f>H12</f>
        <v>Vigilância armada 12 horas noturna 12x36 de segunda - feira a domingo</v>
      </c>
      <c r="C20" s="1020"/>
      <c r="D20" s="1020"/>
      <c r="E20" s="1020"/>
      <c r="F20" s="1020"/>
      <c r="G20" s="1020"/>
      <c r="H20" s="317" t="s">
        <v>94</v>
      </c>
      <c r="I20" s="1021">
        <v>2</v>
      </c>
      <c r="J20" s="1021"/>
      <c r="K20" s="1021"/>
      <c r="M20" s="328" t="s">
        <v>339</v>
      </c>
      <c r="N20" s="322">
        <v>1</v>
      </c>
      <c r="O20" s="510">
        <v>80</v>
      </c>
      <c r="P20" s="322">
        <v>60</v>
      </c>
      <c r="Q20" s="510">
        <f>(N20*O20)/P20</f>
        <v>1.3333333333333333</v>
      </c>
    </row>
    <row r="21" spans="2:17" s="17" customFormat="1" ht="12.75">
      <c r="B21" s="291"/>
      <c r="C21" s="542"/>
      <c r="D21" s="539"/>
      <c r="E21" s="539"/>
      <c r="F21" s="539"/>
      <c r="G21" s="539"/>
      <c r="H21" s="539"/>
      <c r="I21" s="539"/>
      <c r="J21" s="539"/>
      <c r="K21" s="543"/>
      <c r="M21" s="321" t="s">
        <v>340</v>
      </c>
      <c r="N21" s="322">
        <v>1</v>
      </c>
      <c r="O21" s="510">
        <v>600</v>
      </c>
      <c r="P21" s="322">
        <v>12</v>
      </c>
      <c r="Q21" s="510">
        <f>(N21*O21)/P21</f>
        <v>50</v>
      </c>
    </row>
    <row r="22" spans="2:17" s="17" customFormat="1" ht="12.7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341</v>
      </c>
      <c r="N22" s="322">
        <v>1</v>
      </c>
      <c r="O22" s="510">
        <v>80</v>
      </c>
      <c r="P22" s="322">
        <v>12</v>
      </c>
      <c r="Q22" s="510">
        <f t="shared" ref="Q22" si="2">(N22*O22)/P22</f>
        <v>6.666666666666667</v>
      </c>
    </row>
    <row r="23" spans="2:17" s="17" customFormat="1" ht="12.75">
      <c r="B23" s="291"/>
      <c r="C23" s="539"/>
      <c r="D23" s="539"/>
      <c r="E23" s="539"/>
      <c r="F23" s="539"/>
      <c r="G23" s="539"/>
      <c r="H23" s="539"/>
      <c r="I23" s="539"/>
      <c r="J23" s="539"/>
      <c r="K23" s="543"/>
      <c r="M23" s="986" t="s">
        <v>147</v>
      </c>
      <c r="N23" s="986"/>
      <c r="O23" s="986"/>
      <c r="P23" s="986"/>
      <c r="Q23" s="329">
        <f>Q17+Q18+Q19+Q20+Q21+Q22</f>
        <v>65.5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986" t="s">
        <v>188</v>
      </c>
      <c r="N25" s="986"/>
      <c r="O25" s="986"/>
      <c r="P25" s="986"/>
      <c r="Q25" s="986"/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323" t="s">
        <v>114</v>
      </c>
      <c r="N26" s="324" t="s">
        <v>115</v>
      </c>
      <c r="O26" s="324" t="s">
        <v>116</v>
      </c>
      <c r="P26" s="324" t="s">
        <v>117</v>
      </c>
      <c r="Q26" s="324" t="s">
        <v>97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  <c r="M27" s="328" t="s">
        <v>220</v>
      </c>
      <c r="N27" s="322">
        <v>1</v>
      </c>
      <c r="O27" s="510">
        <v>1500</v>
      </c>
      <c r="P27" s="326">
        <v>120</v>
      </c>
      <c r="Q27" s="516">
        <f>(N27*O27)/P27</f>
        <v>12.5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328" t="s">
        <v>343</v>
      </c>
      <c r="N28" s="322">
        <v>1</v>
      </c>
      <c r="O28" s="510">
        <v>50</v>
      </c>
      <c r="P28" s="326">
        <v>12</v>
      </c>
      <c r="Q28" s="515">
        <f>N28*O28/P28</f>
        <v>4.166666666666667</v>
      </c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8" t="s">
        <v>342</v>
      </c>
      <c r="N29" s="322">
        <v>8</v>
      </c>
      <c r="O29" s="510">
        <v>16</v>
      </c>
      <c r="P29" s="326">
        <v>60</v>
      </c>
      <c r="Q29" s="515">
        <f t="shared" ref="Q29:Q30" si="3">N29*O29/P29</f>
        <v>2.1333333333333333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344</v>
      </c>
      <c r="N30" s="322">
        <v>1</v>
      </c>
      <c r="O30" s="510">
        <v>120</v>
      </c>
      <c r="P30" s="326">
        <v>60</v>
      </c>
      <c r="Q30" s="515">
        <f t="shared" si="3"/>
        <v>2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986" t="s">
        <v>147</v>
      </c>
      <c r="N31" s="986"/>
      <c r="O31" s="986"/>
      <c r="P31" s="986"/>
      <c r="Q31" s="329">
        <f>Q27+Q28+Q29+Q30</f>
        <v>20.8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545" t="s">
        <v>3</v>
      </c>
      <c r="K32" s="545" t="s">
        <v>1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276">
        <f>K27</f>
        <v>1372.86</v>
      </c>
      <c r="L33" s="21"/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261">
        <v>0.3</v>
      </c>
      <c r="K34" s="276">
        <f>K33*J34</f>
        <v>411.85799999999995</v>
      </c>
      <c r="L34" s="21"/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120</v>
      </c>
      <c r="K35" s="276">
        <f>((K33+K34)/192)*0.2*J35</f>
        <v>223.08975000000001</v>
      </c>
      <c r="L35" s="22"/>
      <c r="R35" s="23"/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276">
        <f>((K33+K34+K35)/192)*1.5*15</f>
        <v>235.28997070312499</v>
      </c>
      <c r="L36" s="22"/>
      <c r="R36" s="16"/>
    </row>
    <row r="37" spans="2:18" s="17" customFormat="1" ht="15" hidden="1" customHeight="1">
      <c r="B37" s="238"/>
      <c r="C37" s="243"/>
      <c r="D37" s="1027" t="s">
        <v>111</v>
      </c>
      <c r="E37" s="1027"/>
      <c r="F37" s="1027"/>
      <c r="G37" s="1027"/>
      <c r="H37" s="1027"/>
      <c r="I37" s="1027"/>
      <c r="J37" s="278">
        <v>0</v>
      </c>
      <c r="K37" s="276">
        <f>J37*15</f>
        <v>0</v>
      </c>
      <c r="L37" s="22"/>
      <c r="M37" s="503"/>
      <c r="N37" s="504"/>
      <c r="O37" s="504"/>
      <c r="P37" s="504"/>
      <c r="Q37" s="504"/>
    </row>
    <row r="38" spans="2:18" s="17" customFormat="1" ht="15" hidden="1" customHeight="1">
      <c r="B38" s="238"/>
      <c r="C38" s="545"/>
      <c r="D38" s="1027" t="s">
        <v>110</v>
      </c>
      <c r="E38" s="1027"/>
      <c r="F38" s="1027"/>
      <c r="G38" s="1027"/>
      <c r="H38" s="1027"/>
      <c r="I38" s="1027"/>
      <c r="J38" s="278">
        <v>0</v>
      </c>
      <c r="K38" s="276">
        <f>K37/6</f>
        <v>0</v>
      </c>
      <c r="L38" s="22"/>
      <c r="M38" s="503"/>
      <c r="N38" s="504"/>
      <c r="O38" s="504"/>
      <c r="P38" s="504"/>
      <c r="Q38" s="504"/>
    </row>
    <row r="39" spans="2:18" s="17" customFormat="1" ht="15" hidden="1" customHeight="1">
      <c r="B39" s="238"/>
      <c r="C39" s="545"/>
      <c r="D39" s="1027" t="s">
        <v>112</v>
      </c>
      <c r="E39" s="1027"/>
      <c r="F39" s="1027"/>
      <c r="G39" s="1027"/>
      <c r="H39" s="1027"/>
      <c r="I39" s="1027"/>
      <c r="J39" s="279">
        <v>0</v>
      </c>
      <c r="K39" s="276">
        <f>J39*J35</f>
        <v>0</v>
      </c>
      <c r="L39" s="22"/>
      <c r="M39" s="503"/>
      <c r="N39" s="504"/>
      <c r="O39" s="504"/>
      <c r="P39" s="504"/>
      <c r="Q39" s="504"/>
    </row>
    <row r="40" spans="2:18" s="17" customForma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>
        <v>0</v>
      </c>
      <c r="L40" s="22"/>
      <c r="M40" s="503"/>
      <c r="N40" s="504"/>
      <c r="O40" s="504"/>
      <c r="P40" s="504"/>
      <c r="Q40" s="504"/>
    </row>
    <row r="41" spans="2:18" s="17" customForma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2243.0977207031251</v>
      </c>
      <c r="L41" s="22"/>
      <c r="M41" s="503"/>
      <c r="N41" s="504"/>
      <c r="O41" s="504"/>
      <c r="P41" s="504"/>
      <c r="Q41" s="504"/>
      <c r="R41" s="23"/>
    </row>
    <row r="42" spans="2:18" s="17" customForma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SUM(K41)</f>
        <v>2243.0977207031251</v>
      </c>
      <c r="L42" s="22"/>
      <c r="M42" s="503"/>
      <c r="N42" s="1035" t="s">
        <v>241</v>
      </c>
      <c r="O42" s="1035"/>
      <c r="P42" s="1035"/>
      <c r="Q42" s="1035"/>
    </row>
    <row r="43" spans="2:18" s="17" customFormat="1">
      <c r="B43" s="291"/>
      <c r="C43" s="547"/>
      <c r="D43" s="547"/>
      <c r="E43" s="547"/>
      <c r="F43" s="547"/>
      <c r="G43" s="547"/>
      <c r="H43" s="547"/>
      <c r="I43" s="547"/>
      <c r="J43" s="547"/>
      <c r="K43" s="293"/>
      <c r="L43" s="27"/>
      <c r="M43" s="503"/>
      <c r="N43" s="1101" t="s">
        <v>242</v>
      </c>
      <c r="O43" s="1101"/>
      <c r="P43" s="1101"/>
      <c r="Q43" s="1101"/>
    </row>
    <row r="44" spans="2:18" s="17" customFormat="1">
      <c r="B44" s="291"/>
      <c r="C44" s="547"/>
      <c r="D44" s="547"/>
      <c r="E44" s="547"/>
      <c r="F44" s="547"/>
      <c r="G44" s="547"/>
      <c r="H44" s="547"/>
      <c r="I44" s="547"/>
      <c r="J44" s="547"/>
      <c r="K44" s="294"/>
      <c r="L44" s="29"/>
      <c r="M44" s="503"/>
      <c r="N44" s="504"/>
      <c r="O44" s="504"/>
      <c r="P44" s="504"/>
      <c r="Q44" s="504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9"/>
      <c r="M45" s="503"/>
      <c r="N45" s="504"/>
      <c r="O45" s="504"/>
      <c r="P45" s="504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550" t="s">
        <v>3</v>
      </c>
      <c r="K46" s="550" t="s">
        <v>1</v>
      </c>
      <c r="L46" s="29"/>
      <c r="M46" s="503"/>
      <c r="N46" s="504"/>
      <c r="O46" s="504"/>
      <c r="P46" s="504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8.3299999999999999E-2</v>
      </c>
      <c r="K47" s="274">
        <f>$K$41*J47</f>
        <v>186.85004013457032</v>
      </c>
      <c r="L47" s="29"/>
      <c r="M47" s="503"/>
      <c r="N47" s="504"/>
      <c r="O47" s="504"/>
      <c r="P47" s="504"/>
      <c r="Q47" s="504"/>
    </row>
    <row r="48" spans="2:18" s="17" customFormat="1">
      <c r="B48" s="238" t="s">
        <v>8</v>
      </c>
      <c r="C48" s="1027" t="s">
        <v>172</v>
      </c>
      <c r="D48" s="1027"/>
      <c r="E48" s="1027"/>
      <c r="F48" s="1027"/>
      <c r="G48" s="1027"/>
      <c r="H48" s="1027"/>
      <c r="I48" s="1027"/>
      <c r="J48" s="411">
        <v>0.1111</v>
      </c>
      <c r="K48" s="274">
        <f>J48*K41</f>
        <v>249.2081567701172</v>
      </c>
      <c r="L48" s="29"/>
      <c r="M48" s="503"/>
      <c r="N48" s="504"/>
      <c r="O48" s="504"/>
      <c r="P48" s="504"/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0.19440000000000002</v>
      </c>
      <c r="K49" s="521">
        <f>SUM(K47:K48)</f>
        <v>436.05819690468752</v>
      </c>
      <c r="L49" s="29"/>
      <c r="M49" s="503"/>
      <c r="N49" s="504"/>
      <c r="O49" s="504"/>
      <c r="P49" s="504"/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503"/>
      <c r="N50" s="504"/>
      <c r="O50" s="504"/>
      <c r="P50" s="504"/>
      <c r="Q50" s="504"/>
    </row>
    <row r="51" spans="2:17" s="17" customFormat="1">
      <c r="B51" s="1030" t="s">
        <v>48</v>
      </c>
      <c r="C51" s="1030"/>
      <c r="D51" s="1030"/>
      <c r="E51" s="1030"/>
      <c r="F51" s="1030"/>
      <c r="G51" s="1030"/>
      <c r="H51" s="1030"/>
      <c r="I51" s="1030"/>
      <c r="J51" s="544" t="s">
        <v>3</v>
      </c>
      <c r="K51" s="544" t="s">
        <v>1</v>
      </c>
      <c r="L51" s="29"/>
      <c r="M51" s="503"/>
      <c r="N51" s="504"/>
      <c r="O51" s="504"/>
      <c r="P51" s="504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J52*$K$42</f>
        <v>448.61954414062507</v>
      </c>
      <c r="L52" s="29"/>
      <c r="M52" s="1102" t="s">
        <v>313</v>
      </c>
      <c r="N52" s="1103"/>
      <c r="O52" s="568"/>
      <c r="P52" s="568"/>
      <c r="Q52" s="504"/>
    </row>
    <row r="53" spans="2:17" s="17" customFormat="1" ht="14.25" customHeigh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J53*$K$42</f>
        <v>56.077443017578133</v>
      </c>
      <c r="L53" s="29"/>
      <c r="M53" s="1104"/>
      <c r="N53" s="1105"/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1.4999999999999999E-2</v>
      </c>
      <c r="K54" s="273">
        <f t="shared" si="4"/>
        <v>33.646465810546879</v>
      </c>
      <c r="L54" s="29"/>
      <c r="M54" s="569" t="s">
        <v>314</v>
      </c>
      <c r="N54" s="570">
        <v>25.5</v>
      </c>
      <c r="O54" s="568"/>
      <c r="P54" s="568"/>
      <c r="Q54" s="504"/>
    </row>
    <row r="55" spans="2:17" s="17" customFormat="1" ht="14.25" customHeigh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33.646465810546879</v>
      </c>
      <c r="L55" s="29"/>
      <c r="M55" s="569" t="s">
        <v>315</v>
      </c>
      <c r="N55" s="571">
        <v>15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22.430977207031251</v>
      </c>
      <c r="L56" s="29"/>
      <c r="M56" s="569" t="s">
        <v>316</v>
      </c>
      <c r="N56" s="570">
        <f>N54*N55</f>
        <v>382.5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13.458586324218752</v>
      </c>
      <c r="L57" s="29"/>
      <c r="M57" s="569" t="s">
        <v>317</v>
      </c>
      <c r="N57" s="570">
        <f>N56*5%</f>
        <v>19.125</v>
      </c>
      <c r="O57" s="572" t="s">
        <v>318</v>
      </c>
      <c r="P57" s="585" t="s">
        <v>316</v>
      </c>
      <c r="Q57" s="504"/>
    </row>
    <row r="58" spans="2:17" s="17" customForma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4.4861954414062506</v>
      </c>
      <c r="L58" s="29"/>
      <c r="M58" s="573" t="s">
        <v>319</v>
      </c>
      <c r="N58" s="574">
        <f>N56-N57</f>
        <v>363.375</v>
      </c>
      <c r="O58" s="575">
        <v>1</v>
      </c>
      <c r="P58" s="584">
        <f>O58*N58</f>
        <v>363.375</v>
      </c>
      <c r="Q58" s="504"/>
    </row>
    <row r="59" spans="2:17" s="17" customForma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179.44781765625001</v>
      </c>
      <c r="L59" s="29"/>
      <c r="M59" s="1066" t="s">
        <v>320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0.35300000000000004</v>
      </c>
      <c r="K60" s="521">
        <f>TRUNC(SUM(K52:K59),2)</f>
        <v>791.81</v>
      </c>
      <c r="L60" s="29"/>
      <c r="M60" s="576"/>
      <c r="N60" s="576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36" t="s">
        <v>321</v>
      </c>
      <c r="N61" s="1036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567" t="s">
        <v>1</v>
      </c>
      <c r="L62" s="29"/>
      <c r="M62" s="569" t="s">
        <v>322</v>
      </c>
      <c r="N62" s="577">
        <v>4</v>
      </c>
      <c r="O62" s="568"/>
      <c r="P62" s="568"/>
      <c r="Q62" s="504"/>
    </row>
    <row r="63" spans="2:17" s="17" customFormat="1" ht="13.5" customHeight="1">
      <c r="B63" s="548" t="s">
        <v>7</v>
      </c>
      <c r="C63" s="1091" t="s">
        <v>113</v>
      </c>
      <c r="D63" s="1092"/>
      <c r="E63" s="1092"/>
      <c r="F63" s="1092"/>
      <c r="G63" s="1092"/>
      <c r="H63" s="1092"/>
      <c r="I63" s="1092"/>
      <c r="J63" s="1093"/>
      <c r="K63" s="549">
        <f>P67</f>
        <v>37.628400000000013</v>
      </c>
      <c r="L63" s="29"/>
      <c r="M63" s="569" t="s">
        <v>323</v>
      </c>
      <c r="N63" s="577">
        <v>2</v>
      </c>
      <c r="O63" s="568"/>
      <c r="P63" s="568"/>
      <c r="Q63" s="504"/>
    </row>
    <row r="64" spans="2:17" s="17" customFormat="1" ht="13.5" customHeight="1">
      <c r="B64" s="548" t="s">
        <v>8</v>
      </c>
      <c r="C64" s="1091" t="s">
        <v>173</v>
      </c>
      <c r="D64" s="1092"/>
      <c r="E64" s="1092"/>
      <c r="F64" s="1092"/>
      <c r="G64" s="1092"/>
      <c r="H64" s="1092"/>
      <c r="I64" s="1092"/>
      <c r="J64" s="1093"/>
      <c r="K64" s="271">
        <f>P58</f>
        <v>363.375</v>
      </c>
      <c r="L64" s="27"/>
      <c r="M64" s="569" t="s">
        <v>324</v>
      </c>
      <c r="N64" s="571">
        <v>15</v>
      </c>
      <c r="O64" s="568"/>
      <c r="P64" s="568"/>
      <c r="Q64" s="504"/>
    </row>
    <row r="65" spans="2:17" s="17" customFormat="1" ht="13.5" customHeight="1">
      <c r="B65" s="548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95"/>
      <c r="K65" s="271">
        <f>N74</f>
        <v>108.23</v>
      </c>
      <c r="L65" s="27"/>
      <c r="M65" s="569" t="s">
        <v>325</v>
      </c>
      <c r="N65" s="577">
        <f>(N62*N63)*N64</f>
        <v>120</v>
      </c>
      <c r="O65" s="568"/>
      <c r="P65" s="568"/>
      <c r="Q65" s="504"/>
    </row>
    <row r="66" spans="2:17" s="17" customFormat="1" ht="14.25" customHeight="1">
      <c r="B66" s="548" t="s">
        <v>10</v>
      </c>
      <c r="C66" s="563" t="s">
        <v>291</v>
      </c>
      <c r="D66" s="564"/>
      <c r="E66" s="565"/>
      <c r="F66" s="565"/>
      <c r="G66" s="565"/>
      <c r="H66" s="565"/>
      <c r="I66" s="565"/>
      <c r="J66" s="566"/>
      <c r="K66" s="271"/>
      <c r="L66" s="27"/>
      <c r="M66" s="569" t="s">
        <v>326</v>
      </c>
      <c r="N66" s="577">
        <f>K33*6%</f>
        <v>82.371599999999987</v>
      </c>
      <c r="O66" s="572" t="s">
        <v>318</v>
      </c>
      <c r="P66" s="585" t="s">
        <v>316</v>
      </c>
      <c r="Q66" s="504"/>
    </row>
    <row r="67" spans="2:17" s="17" customForma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SUM(K63:K65)</f>
        <v>509.23340000000002</v>
      </c>
      <c r="L67" s="29"/>
      <c r="M67" s="573" t="s">
        <v>319</v>
      </c>
      <c r="N67" s="578">
        <f>N65-N66</f>
        <v>37.628400000000013</v>
      </c>
      <c r="O67" s="575">
        <v>1</v>
      </c>
      <c r="P67" s="584">
        <f>O67*N67</f>
        <v>37.628400000000013</v>
      </c>
      <c r="Q67" s="504"/>
    </row>
    <row r="68" spans="2:17" s="17" customForma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9"/>
      <c r="M68" s="1066" t="s">
        <v>327</v>
      </c>
      <c r="N68" s="1066"/>
      <c r="O68" s="568"/>
      <c r="P68" s="568"/>
      <c r="Q68" s="504"/>
    </row>
    <row r="69" spans="2:17" s="17" customFormat="1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9"/>
      <c r="M69" s="568"/>
      <c r="N69" s="568"/>
      <c r="O69" s="568"/>
      <c r="P69" s="568"/>
      <c r="Q69" s="504"/>
    </row>
    <row r="70" spans="2:17" s="17" customFormat="1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544" t="s">
        <v>1</v>
      </c>
      <c r="L70" s="29"/>
      <c r="M70" s="1067" t="s">
        <v>328</v>
      </c>
      <c r="N70" s="1067"/>
      <c r="O70" s="568"/>
      <c r="P70" s="568"/>
      <c r="Q70" s="504"/>
    </row>
    <row r="71" spans="2:17" s="17" customFormat="1">
      <c r="B71" s="540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436.05819690468752</v>
      </c>
      <c r="L71" s="29"/>
      <c r="M71" s="569" t="s">
        <v>329</v>
      </c>
      <c r="N71" s="579">
        <v>109.23</v>
      </c>
      <c r="O71" s="568"/>
      <c r="P71" s="568"/>
      <c r="Q71" s="504"/>
    </row>
    <row r="72" spans="2:17" s="17" customFormat="1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791.81</v>
      </c>
      <c r="L72" s="29"/>
      <c r="M72" s="569" t="s">
        <v>330</v>
      </c>
      <c r="N72" s="579">
        <v>1</v>
      </c>
      <c r="O72" s="568"/>
      <c r="P72" s="568"/>
      <c r="Q72" s="504"/>
    </row>
    <row r="73" spans="2:17" s="17" customFormat="1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509.23340000000002</v>
      </c>
      <c r="L73" s="29"/>
      <c r="M73" s="569" t="s">
        <v>331</v>
      </c>
      <c r="N73" s="580">
        <v>1</v>
      </c>
      <c r="O73" s="568"/>
      <c r="P73" s="568"/>
      <c r="Q73" s="504"/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1737.1</v>
      </c>
      <c r="L74" s="29"/>
      <c r="M74" s="581" t="s">
        <v>332</v>
      </c>
      <c r="N74" s="583">
        <f>(N71-N72)*N73</f>
        <v>108.23</v>
      </c>
      <c r="O74" s="582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1066" t="s">
        <v>333</v>
      </c>
      <c r="N75" s="1066"/>
      <c r="O75" s="582"/>
      <c r="P75" s="568"/>
      <c r="Q75" s="504"/>
    </row>
    <row r="76" spans="2:17" s="17" customFormat="1">
      <c r="B76" s="545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545" t="s">
        <v>3</v>
      </c>
      <c r="K76" s="545" t="s">
        <v>1</v>
      </c>
      <c r="L76" s="29"/>
      <c r="M76" s="503"/>
      <c r="N76" s="504"/>
      <c r="O76" s="504"/>
      <c r="P76" s="504"/>
      <c r="Q76" s="504"/>
    </row>
    <row r="77" spans="2:17" s="17" customFormat="1">
      <c r="B77" s="545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416">
        <v>4.4999999999999997E-3</v>
      </c>
      <c r="K77" s="246">
        <f>K42*J77</f>
        <v>10.093939743164063</v>
      </c>
      <c r="L77" s="29"/>
      <c r="M77" s="503"/>
      <c r="N77" s="504"/>
      <c r="O77" s="504"/>
      <c r="P77" s="504"/>
      <c r="Q77" s="504"/>
    </row>
    <row r="78" spans="2:17" s="17" customFormat="1">
      <c r="B78" s="545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3.5999999999999997E-4</v>
      </c>
      <c r="K78" s="242">
        <f>J78*K42</f>
        <v>0.80751517945312501</v>
      </c>
      <c r="L78" s="29"/>
      <c r="M78" s="503"/>
      <c r="N78" s="504"/>
      <c r="O78" s="504"/>
      <c r="P78" s="504"/>
      <c r="Q78" s="504"/>
    </row>
    <row r="79" spans="2:17" s="17" customFormat="1">
      <c r="B79" s="545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0.02</v>
      </c>
      <c r="K79" s="242">
        <f>J79*K41</f>
        <v>44.861954414062502</v>
      </c>
      <c r="L79" s="29"/>
      <c r="M79" s="503"/>
      <c r="N79" s="504"/>
      <c r="O79" s="504"/>
      <c r="P79" s="504"/>
      <c r="Q79" s="504"/>
    </row>
    <row r="80" spans="2:17" s="17" customFormat="1">
      <c r="B80" s="545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J80*K41</f>
        <v>43.615789013671879</v>
      </c>
      <c r="L80" s="29"/>
      <c r="M80" s="503"/>
      <c r="N80" s="504"/>
      <c r="O80" s="504"/>
      <c r="P80" s="504"/>
      <c r="Q80" s="504"/>
    </row>
    <row r="81" spans="2:17" s="17" customFormat="1">
      <c r="B81" s="545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6.8638888888888899E-3</v>
      </c>
      <c r="K81" s="242">
        <f>J81*K41</f>
        <v>15.396373521826174</v>
      </c>
      <c r="L81" s="29"/>
      <c r="M81" s="503"/>
      <c r="N81" s="504"/>
      <c r="O81" s="504"/>
      <c r="P81" s="504"/>
      <c r="Q81" s="504"/>
    </row>
    <row r="82" spans="2:17" s="17" customFormat="1">
      <c r="B82" s="545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0.02</v>
      </c>
      <c r="K82" s="242">
        <f>J82*K41</f>
        <v>44.861954414062502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7.1168333333333333E-2</v>
      </c>
      <c r="K83" s="260">
        <f>TRUNC(SUM(K77:K82),2)</f>
        <v>159.63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545" t="s">
        <v>3</v>
      </c>
      <c r="K86" s="545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545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f>1/12</f>
        <v>8.3333333333333329E-2</v>
      </c>
      <c r="K87" s="242">
        <f>$K$41*J87</f>
        <v>186.92481005859375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6">
        <f t="shared" ref="K88:K92" si="5">$K$41*J88</f>
        <v>10.093939743164063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2.0000000000000001E-4</v>
      </c>
      <c r="K89" s="246">
        <f t="shared" si="5"/>
        <v>0.44861954414062505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2.9999999999999997E-4</v>
      </c>
      <c r="K90" s="246">
        <f t="shared" si="5"/>
        <v>0.67292931621093743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0</v>
      </c>
      <c r="K91" s="246">
        <f t="shared" si="5"/>
        <v>0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6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8.8333333333333333E-2</v>
      </c>
      <c r="K93" s="260">
        <f>SUM(K87:K92)</f>
        <v>198.14029866210939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544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545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f>((K33+K34+K35)/192)*1.5*15</f>
        <v>235.28997070312499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235.28997070312499</v>
      </c>
      <c r="L97" s="29"/>
      <c r="M97" s="503"/>
      <c r="N97" s="504"/>
      <c r="O97" s="504"/>
      <c r="P97" s="504"/>
      <c r="Q97" s="504"/>
    </row>
    <row r="98" spans="2:17" s="17" customFormat="1">
      <c r="B98" s="541"/>
      <c r="C98" s="542"/>
      <c r="D98" s="542"/>
      <c r="E98" s="542"/>
      <c r="F98" s="542"/>
      <c r="G98" s="542"/>
      <c r="H98" s="542"/>
      <c r="I98" s="542"/>
      <c r="J98" s="542"/>
      <c r="K98" s="543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544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545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198.14029866210939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235.28997070312499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433.43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0.70690166666666665</v>
      </c>
      <c r="K104" s="520">
        <f>K93+K83+K60+K49</f>
        <v>1585.6384955667968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544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544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545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56.916666666666664</v>
      </c>
      <c r="L108" s="29"/>
      <c r="M108" s="503"/>
      <c r="N108" s="504"/>
      <c r="O108" s="504"/>
      <c r="P108" s="504"/>
      <c r="Q108" s="504"/>
    </row>
    <row r="109" spans="2:17" s="17" customFormat="1">
      <c r="B109" s="545" t="s">
        <v>8</v>
      </c>
      <c r="C109" s="1038" t="s">
        <v>345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Q23</f>
        <v>65.5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346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Q31</f>
        <v>20.8</v>
      </c>
      <c r="L110" s="29"/>
      <c r="M110" s="503"/>
      <c r="N110" s="504"/>
      <c r="O110" s="504"/>
      <c r="P110" s="504"/>
      <c r="Q110" s="504"/>
    </row>
    <row r="111" spans="2:17" s="17" customFormat="1">
      <c r="B111" s="1083" t="s">
        <v>70</v>
      </c>
      <c r="C111" s="1083"/>
      <c r="D111" s="1083"/>
      <c r="E111" s="1083"/>
      <c r="F111" s="1083"/>
      <c r="G111" s="1083"/>
      <c r="H111" s="1083"/>
      <c r="I111" s="1083"/>
      <c r="J111" s="419" t="s">
        <v>0</v>
      </c>
      <c r="K111" s="415">
        <f>TRUNC(SUM(K108:K110),2)</f>
        <v>143.21</v>
      </c>
      <c r="L111" s="29"/>
      <c r="M111" s="503"/>
      <c r="N111" s="504"/>
      <c r="O111" s="504"/>
      <c r="P111" s="504"/>
      <c r="Q111" s="504"/>
    </row>
    <row r="112" spans="2:17" s="17" customFormat="1">
      <c r="B112" s="1084" t="s">
        <v>71</v>
      </c>
      <c r="C112" s="1084"/>
      <c r="D112" s="1084"/>
      <c r="E112" s="1084"/>
      <c r="F112" s="1084"/>
      <c r="G112" s="1084"/>
      <c r="H112" s="1084"/>
      <c r="I112" s="1084"/>
      <c r="J112" s="1084"/>
      <c r="K112" s="1084"/>
      <c r="L112" s="29"/>
      <c r="M112" s="503"/>
      <c r="N112" s="504"/>
      <c r="O112" s="504"/>
      <c r="P112" s="504"/>
      <c r="Q112" s="504"/>
    </row>
    <row r="113" spans="2:18" s="17" customFormat="1">
      <c r="B113" s="545">
        <v>6</v>
      </c>
      <c r="C113" s="1085" t="s">
        <v>18</v>
      </c>
      <c r="D113" s="1085"/>
      <c r="E113" s="1085"/>
      <c r="F113" s="1085"/>
      <c r="G113" s="1085"/>
      <c r="H113" s="1085"/>
      <c r="I113" s="1085"/>
      <c r="J113" s="545" t="s">
        <v>3</v>
      </c>
      <c r="K113" s="545" t="s">
        <v>1</v>
      </c>
      <c r="L113" s="29"/>
      <c r="M113" s="503"/>
      <c r="N113" s="504"/>
      <c r="O113" s="504"/>
      <c r="P113" s="504"/>
      <c r="Q113" s="504"/>
    </row>
    <row r="114" spans="2:18" s="17" customFormat="1">
      <c r="B114" s="545" t="s">
        <v>7</v>
      </c>
      <c r="C114" s="1044" t="s">
        <v>21</v>
      </c>
      <c r="D114" s="1044"/>
      <c r="E114" s="1044"/>
      <c r="F114" s="1044"/>
      <c r="G114" s="1044"/>
      <c r="H114" s="1044"/>
      <c r="I114" s="1044"/>
      <c r="J114" s="411">
        <v>0.11666799999999999</v>
      </c>
      <c r="K114" s="355">
        <f>TRUNC(J114*K139,2)</f>
        <v>550.26</v>
      </c>
      <c r="L114" s="29"/>
      <c r="M114" s="503"/>
      <c r="N114" s="504"/>
      <c r="O114" s="504"/>
      <c r="P114" s="504"/>
      <c r="Q114" s="504"/>
      <c r="R114" s="128"/>
    </row>
    <row r="115" spans="2:18" s="17" customFormat="1">
      <c r="B115" s="243" t="s">
        <v>8</v>
      </c>
      <c r="C115" s="1044" t="s">
        <v>4</v>
      </c>
      <c r="D115" s="1044"/>
      <c r="E115" s="1044"/>
      <c r="F115" s="1044"/>
      <c r="G115" s="1044"/>
      <c r="H115" s="1044"/>
      <c r="I115" s="1044"/>
      <c r="J115" s="411">
        <v>0.10199999999999999</v>
      </c>
      <c r="K115" s="355">
        <f>TRUNC(J115*(K114+K139),2)</f>
        <v>537.20000000000005</v>
      </c>
      <c r="M115" s="503"/>
      <c r="N115" s="504"/>
      <c r="O115" s="504"/>
      <c r="P115" s="504"/>
      <c r="Q115" s="504"/>
    </row>
    <row r="116" spans="2:18" s="17" customFormat="1">
      <c r="B116" s="534" t="s">
        <v>9</v>
      </c>
      <c r="C116" s="1086" t="s">
        <v>28</v>
      </c>
      <c r="D116" s="1087"/>
      <c r="E116" s="1087"/>
      <c r="F116" s="1087"/>
      <c r="G116" s="1087"/>
      <c r="H116" s="1087"/>
      <c r="I116" s="1087"/>
      <c r="J116" s="1088"/>
      <c r="K116" s="1089"/>
      <c r="L116" s="25"/>
      <c r="M116" s="503"/>
      <c r="N116" s="504"/>
      <c r="O116" s="504"/>
      <c r="P116" s="504"/>
      <c r="Q116" s="504"/>
    </row>
    <row r="117" spans="2:18" s="17" customFormat="1">
      <c r="B117" s="243" t="s">
        <v>29</v>
      </c>
      <c r="C117" s="1044" t="s">
        <v>82</v>
      </c>
      <c r="D117" s="1044"/>
      <c r="E117" s="1044"/>
      <c r="F117" s="1044"/>
      <c r="G117" s="1044"/>
      <c r="H117" s="1044"/>
      <c r="I117" s="1044"/>
      <c r="J117" s="245">
        <v>6.4999999999999997E-3</v>
      </c>
      <c r="K117" s="426">
        <f>TRUNC(J117*K128,2)</f>
        <v>41.29</v>
      </c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77</v>
      </c>
      <c r="D118" s="1044"/>
      <c r="E118" s="1044"/>
      <c r="F118" s="1044"/>
      <c r="G118" s="1044"/>
      <c r="H118" s="1044"/>
      <c r="I118" s="1044"/>
      <c r="J118" s="245">
        <v>0.03</v>
      </c>
      <c r="K118" s="426">
        <f>TRUNC(J118*K128,2)</f>
        <v>190.6</v>
      </c>
      <c r="L118" s="25">
        <f>K143</f>
        <v>12706.976967706623</v>
      </c>
      <c r="M118" s="503"/>
      <c r="N118" s="504"/>
      <c r="O118" s="504"/>
      <c r="P118" s="504"/>
      <c r="Q118" s="504"/>
    </row>
    <row r="119" spans="2:18" s="17" customFormat="1">
      <c r="B119" s="243" t="s">
        <v>30</v>
      </c>
      <c r="C119" s="1044" t="s">
        <v>80</v>
      </c>
      <c r="D119" s="1044"/>
      <c r="E119" s="1044"/>
      <c r="F119" s="1044"/>
      <c r="G119" s="1044"/>
      <c r="H119" s="1044"/>
      <c r="I119" s="1044"/>
      <c r="J119" s="247" t="s">
        <v>79</v>
      </c>
      <c r="K119" s="426">
        <v>0</v>
      </c>
      <c r="M119" s="503"/>
      <c r="N119" s="504"/>
      <c r="O119" s="504"/>
      <c r="P119" s="504"/>
      <c r="Q119" s="504"/>
    </row>
    <row r="120" spans="2:18" s="17" customFormat="1">
      <c r="B120" s="243" t="s">
        <v>31</v>
      </c>
      <c r="C120" s="1044" t="s">
        <v>78</v>
      </c>
      <c r="D120" s="1044"/>
      <c r="E120" s="1044"/>
      <c r="F120" s="1044"/>
      <c r="G120" s="1044"/>
      <c r="H120" s="1044"/>
      <c r="I120" s="1044"/>
      <c r="J120" s="245">
        <v>0.05</v>
      </c>
      <c r="K120" s="426">
        <f>TRUNC(J120*K128,2)</f>
        <v>317.67</v>
      </c>
      <c r="M120" s="503"/>
      <c r="N120" s="504"/>
      <c r="O120" s="504"/>
      <c r="P120" s="504"/>
      <c r="Q120" s="504"/>
    </row>
    <row r="121" spans="2:18" s="17" customFormat="1">
      <c r="B121" s="1080" t="s">
        <v>72</v>
      </c>
      <c r="C121" s="1080"/>
      <c r="D121" s="1080"/>
      <c r="E121" s="1080"/>
      <c r="F121" s="1080"/>
      <c r="G121" s="1080"/>
      <c r="H121" s="1080"/>
      <c r="I121" s="1080"/>
      <c r="J121" s="420">
        <f>SUM(J114:J120)</f>
        <v>0.30516799999999994</v>
      </c>
      <c r="K121" s="523">
        <f>TRUNC(SUM(K114:K120),2)</f>
        <v>1637.02</v>
      </c>
      <c r="M121" s="503"/>
      <c r="N121" s="504"/>
      <c r="O121" s="504"/>
      <c r="P121" s="504"/>
      <c r="Q121" s="504"/>
      <c r="R121" s="127"/>
    </row>
    <row r="122" spans="2:18" s="17" customFormat="1">
      <c r="B122" s="291"/>
      <c r="C122" s="542"/>
      <c r="D122" s="1081"/>
      <c r="E122" s="1081"/>
      <c r="F122" s="1081"/>
      <c r="G122" s="1081"/>
      <c r="H122" s="1081"/>
      <c r="I122" s="1081"/>
      <c r="J122" s="1081"/>
      <c r="K122" s="1082"/>
      <c r="M122" s="503"/>
      <c r="N122" s="504"/>
      <c r="O122" s="504"/>
      <c r="P122" s="504"/>
      <c r="Q122" s="504"/>
    </row>
    <row r="123" spans="2:18" s="17" customFormat="1">
      <c r="B123" s="300" t="s">
        <v>32</v>
      </c>
      <c r="C123" s="301"/>
      <c r="D123" s="1071" t="s">
        <v>33</v>
      </c>
      <c r="E123" s="1071"/>
      <c r="F123" s="1071"/>
      <c r="G123" s="1071"/>
      <c r="H123" s="1071"/>
      <c r="I123" s="1072"/>
      <c r="J123" s="1073">
        <f>TRUNC(J117+J118+J120,4)</f>
        <v>8.6499999999999994E-2</v>
      </c>
      <c r="K123" s="1074"/>
      <c r="M123" s="503"/>
      <c r="N123" s="504"/>
      <c r="O123" s="504"/>
      <c r="P123" s="504"/>
      <c r="Q123" s="504"/>
    </row>
    <row r="124" spans="2:18" s="17" customFormat="1">
      <c r="B124" s="233"/>
      <c r="C124" s="302"/>
      <c r="D124" s="1077">
        <v>100</v>
      </c>
      <c r="E124" s="1078"/>
      <c r="F124" s="1078"/>
      <c r="G124" s="1078"/>
      <c r="H124" s="1078"/>
      <c r="I124" s="1079"/>
      <c r="J124" s="1075"/>
      <c r="K124" s="1076"/>
      <c r="M124" s="503"/>
      <c r="N124" s="504"/>
      <c r="O124" s="504"/>
      <c r="P124" s="504"/>
      <c r="Q124" s="504"/>
    </row>
    <row r="125" spans="2:18" s="17" customFormat="1">
      <c r="B125" s="311"/>
      <c r="C125" s="310"/>
      <c r="D125" s="535"/>
      <c r="E125" s="535"/>
      <c r="F125" s="535"/>
      <c r="G125" s="535"/>
      <c r="H125" s="535"/>
      <c r="I125" s="536"/>
      <c r="J125" s="537"/>
      <c r="K125" s="413"/>
      <c r="M125" s="503"/>
      <c r="N125" s="504"/>
      <c r="O125" s="504"/>
      <c r="P125" s="504"/>
      <c r="Q125" s="504"/>
    </row>
    <row r="126" spans="2:18" s="17" customFormat="1">
      <c r="B126" s="233" t="s">
        <v>34</v>
      </c>
      <c r="C126" s="302"/>
      <c r="D126" s="1078" t="s">
        <v>73</v>
      </c>
      <c r="E126" s="1078"/>
      <c r="F126" s="1078"/>
      <c r="G126" s="1078"/>
      <c r="H126" s="1078"/>
      <c r="I126" s="1079"/>
      <c r="J126" s="538"/>
      <c r="K126" s="429">
        <f>TRUNC(K139+K114+K115,2)</f>
        <v>5803.93</v>
      </c>
      <c r="M126" s="503"/>
      <c r="N126" s="504"/>
      <c r="O126" s="504"/>
      <c r="P126" s="504"/>
      <c r="Q126" s="504"/>
    </row>
    <row r="127" spans="2:18" s="17" customFormat="1">
      <c r="B127" s="300"/>
      <c r="C127" s="301"/>
      <c r="D127" s="535"/>
      <c r="E127" s="535"/>
      <c r="F127" s="535"/>
      <c r="G127" s="535"/>
      <c r="H127" s="535"/>
      <c r="I127" s="536"/>
      <c r="J127" s="537"/>
      <c r="K127" s="414"/>
      <c r="M127" s="503"/>
      <c r="N127" s="504"/>
      <c r="O127" s="504"/>
      <c r="P127" s="504"/>
      <c r="Q127" s="504"/>
    </row>
    <row r="128" spans="2:18" s="17" customFormat="1">
      <c r="B128" s="233" t="s">
        <v>35</v>
      </c>
      <c r="C128" s="302"/>
      <c r="D128" s="1078" t="s">
        <v>36</v>
      </c>
      <c r="E128" s="1078"/>
      <c r="F128" s="1078"/>
      <c r="G128" s="1078"/>
      <c r="H128" s="1078"/>
      <c r="I128" s="1079"/>
      <c r="J128" s="538"/>
      <c r="K128" s="429">
        <f>K126/(1-J123)</f>
        <v>6353.5084838533121</v>
      </c>
      <c r="M128" s="503"/>
      <c r="N128" s="504"/>
      <c r="O128" s="504"/>
      <c r="P128" s="504"/>
      <c r="Q128" s="504"/>
    </row>
    <row r="129" spans="2:17" s="17" customFormat="1">
      <c r="B129" s="546"/>
      <c r="C129" s="301"/>
      <c r="D129" s="535"/>
      <c r="E129" s="535"/>
      <c r="F129" s="535"/>
      <c r="G129" s="535"/>
      <c r="H129" s="535"/>
      <c r="I129" s="536"/>
      <c r="J129" s="537"/>
      <c r="K129" s="414"/>
      <c r="M129" s="503"/>
      <c r="N129" s="504"/>
      <c r="O129" s="504"/>
      <c r="P129" s="504"/>
      <c r="Q129" s="504"/>
    </row>
    <row r="130" spans="2:17" s="17" customFormat="1">
      <c r="B130" s="291"/>
      <c r="C130" s="302"/>
      <c r="D130" s="1078" t="s">
        <v>37</v>
      </c>
      <c r="E130" s="1078"/>
      <c r="F130" s="1078"/>
      <c r="G130" s="1078"/>
      <c r="H130" s="1078"/>
      <c r="I130" s="1079"/>
      <c r="J130" s="538"/>
      <c r="K130" s="429">
        <f>TRUNC(K128-K126,2)</f>
        <v>549.57000000000005</v>
      </c>
      <c r="M130" s="503"/>
      <c r="N130" s="504"/>
      <c r="O130" s="504"/>
      <c r="P130" s="504"/>
      <c r="Q130" s="504"/>
    </row>
    <row r="131" spans="2:17" s="17" customFormat="1">
      <c r="B131" s="291"/>
      <c r="C131" s="542"/>
      <c r="D131" s="542"/>
      <c r="E131" s="542"/>
      <c r="F131" s="542"/>
      <c r="G131" s="542"/>
      <c r="H131" s="542"/>
      <c r="I131" s="542"/>
      <c r="J131" s="542"/>
      <c r="K131" s="295"/>
      <c r="M131" s="503"/>
      <c r="N131" s="504"/>
      <c r="O131" s="504"/>
      <c r="P131" s="504"/>
      <c r="Q131" s="504"/>
    </row>
    <row r="132" spans="2:17" s="17" customFormat="1">
      <c r="B132" s="1064" t="s">
        <v>83</v>
      </c>
      <c r="C132" s="1064"/>
      <c r="D132" s="1064"/>
      <c r="E132" s="1064"/>
      <c r="F132" s="1064"/>
      <c r="G132" s="1064"/>
      <c r="H132" s="1064"/>
      <c r="I132" s="1064"/>
      <c r="J132" s="1064"/>
      <c r="K132" s="1064"/>
      <c r="M132" s="503"/>
      <c r="N132" s="504"/>
      <c r="O132" s="504"/>
      <c r="P132" s="504"/>
      <c r="Q132" s="504"/>
    </row>
    <row r="133" spans="2:17" s="17" customFormat="1">
      <c r="B133" s="1065" t="s">
        <v>22</v>
      </c>
      <c r="C133" s="1065"/>
      <c r="D133" s="1065"/>
      <c r="E133" s="1065"/>
      <c r="F133" s="1065"/>
      <c r="G133" s="1065"/>
      <c r="H133" s="1065"/>
      <c r="I133" s="1065"/>
      <c r="J133" s="1065"/>
      <c r="K133" s="534" t="s">
        <v>1</v>
      </c>
      <c r="M133" s="503"/>
      <c r="N133" s="504"/>
      <c r="O133" s="504"/>
      <c r="P133" s="504"/>
      <c r="Q133" s="504"/>
    </row>
    <row r="134" spans="2:17" s="17" customFormat="1">
      <c r="B134" s="238" t="s">
        <v>7</v>
      </c>
      <c r="C134" s="1044" t="str">
        <f>B31</f>
        <v>MÓDULO 1 - COMPOSIÇÃO DA REMUNERAÇÃO</v>
      </c>
      <c r="D134" s="1044"/>
      <c r="E134" s="1044"/>
      <c r="F134" s="1044"/>
      <c r="G134" s="1044"/>
      <c r="H134" s="1044"/>
      <c r="I134" s="1044"/>
      <c r="J134" s="1044"/>
      <c r="K134" s="355">
        <f>K42</f>
        <v>2243.0977207031251</v>
      </c>
      <c r="M134" s="595">
        <v>2243.1</v>
      </c>
      <c r="N134" s="504"/>
      <c r="O134" s="504"/>
      <c r="P134" s="504"/>
      <c r="Q134" s="504"/>
    </row>
    <row r="135" spans="2:17" s="17" customFormat="1">
      <c r="B135" s="240" t="s">
        <v>8</v>
      </c>
      <c r="C135" s="1044" t="str">
        <f>B45</f>
        <v>MÓDULO 2 – ENCARGOS E BENEFÍCIOS ANUAIS, MENSAIS E DIÁRIOS</v>
      </c>
      <c r="D135" s="1044"/>
      <c r="E135" s="1044"/>
      <c r="F135" s="1044"/>
      <c r="G135" s="1044"/>
      <c r="H135" s="1044"/>
      <c r="I135" s="1044"/>
      <c r="J135" s="1044"/>
      <c r="K135" s="426">
        <f>K74</f>
        <v>1737.1</v>
      </c>
      <c r="M135" s="595">
        <v>1737.1</v>
      </c>
      <c r="N135" s="504"/>
      <c r="O135" s="504"/>
      <c r="P135" s="504"/>
      <c r="Q135" s="504"/>
    </row>
    <row r="136" spans="2:17" s="17" customFormat="1">
      <c r="B136" s="240" t="s">
        <v>9</v>
      </c>
      <c r="C136" s="1044" t="str">
        <f>B75</f>
        <v>MÓDULO 3 – PROVISÃO PARA RESCISÃO</v>
      </c>
      <c r="D136" s="1044"/>
      <c r="E136" s="1044"/>
      <c r="F136" s="1044"/>
      <c r="G136" s="1044"/>
      <c r="H136" s="1044"/>
      <c r="I136" s="1044"/>
      <c r="J136" s="1044"/>
      <c r="K136" s="426">
        <f>K83</f>
        <v>159.63</v>
      </c>
      <c r="M136" s="595">
        <v>159.63</v>
      </c>
      <c r="N136" s="504"/>
      <c r="O136" s="504"/>
      <c r="P136" s="504"/>
      <c r="Q136" s="504"/>
    </row>
    <row r="137" spans="2:17" s="17" customFormat="1">
      <c r="B137" s="238" t="s">
        <v>10</v>
      </c>
      <c r="C137" s="1044" t="str">
        <f>B85</f>
        <v>MÓDULO 4 – CUSTO DE REPOSIÇÃO DO PROFISSIONAL AUSENTE</v>
      </c>
      <c r="D137" s="1044"/>
      <c r="E137" s="1044"/>
      <c r="F137" s="1044"/>
      <c r="G137" s="1044"/>
      <c r="H137" s="1044"/>
      <c r="I137" s="1044"/>
      <c r="J137" s="1044"/>
      <c r="K137" s="426">
        <f>K103</f>
        <v>433.43</v>
      </c>
      <c r="M137" s="595">
        <v>433.43</v>
      </c>
      <c r="N137" s="504"/>
      <c r="O137" s="504"/>
      <c r="P137" s="504"/>
      <c r="Q137" s="504"/>
    </row>
    <row r="138" spans="2:17" s="17" customFormat="1" ht="15.75" thickBot="1">
      <c r="B138" s="424" t="s">
        <v>11</v>
      </c>
      <c r="C138" s="1061" t="str">
        <f>B106</f>
        <v>MÓDULO 5 – INSUMOS DIVERSOS</v>
      </c>
      <c r="D138" s="1061"/>
      <c r="E138" s="1061"/>
      <c r="F138" s="1061"/>
      <c r="G138" s="1061"/>
      <c r="H138" s="1061"/>
      <c r="I138" s="1061"/>
      <c r="J138" s="1061"/>
      <c r="K138" s="427">
        <f>K111</f>
        <v>143.21</v>
      </c>
      <c r="M138" s="595">
        <v>143.21</v>
      </c>
      <c r="N138" s="504"/>
      <c r="O138" s="504"/>
      <c r="P138" s="504"/>
      <c r="Q138" s="504"/>
    </row>
    <row r="139" spans="2:17" s="17" customFormat="1">
      <c r="B139" s="1062" t="s">
        <v>74</v>
      </c>
      <c r="C139" s="1063"/>
      <c r="D139" s="1063"/>
      <c r="E139" s="1063"/>
      <c r="F139" s="1063"/>
      <c r="G139" s="1063"/>
      <c r="H139" s="1063"/>
      <c r="I139" s="1063"/>
      <c r="J139" s="1063"/>
      <c r="K139" s="430">
        <f>TRUNC(SUM(K134:K138),2)+0.01</f>
        <v>4716.47</v>
      </c>
      <c r="M139" s="595">
        <f>M134+M135+M136+M137+M138</f>
        <v>4716.47</v>
      </c>
      <c r="N139" s="504"/>
      <c r="O139" s="504"/>
      <c r="P139" s="504"/>
      <c r="Q139" s="504"/>
    </row>
    <row r="140" spans="2:17" s="17" customFormat="1">
      <c r="B140" s="425" t="s">
        <v>13</v>
      </c>
      <c r="C140" s="1061" t="str">
        <f>B112</f>
        <v>MÓDULO 6 – CUSTOS INDIRETOS, TRIBUTOS E LUCRO</v>
      </c>
      <c r="D140" s="1061"/>
      <c r="E140" s="1061"/>
      <c r="F140" s="1061"/>
      <c r="G140" s="1061"/>
      <c r="H140" s="1061"/>
      <c r="I140" s="1061"/>
      <c r="J140" s="1061"/>
      <c r="K140" s="428">
        <f>K121</f>
        <v>1637.02</v>
      </c>
      <c r="M140" s="595">
        <v>1637.02</v>
      </c>
      <c r="N140" s="504"/>
      <c r="O140" s="504"/>
      <c r="P140" s="504"/>
      <c r="Q140" s="504"/>
    </row>
    <row r="141" spans="2:17" s="17" customFormat="1">
      <c r="B141" s="1064" t="s">
        <v>75</v>
      </c>
      <c r="C141" s="1064"/>
      <c r="D141" s="1064"/>
      <c r="E141" s="1064"/>
      <c r="F141" s="1064"/>
      <c r="G141" s="1064"/>
      <c r="H141" s="1064"/>
      <c r="I141" s="1064"/>
      <c r="J141" s="1064"/>
      <c r="K141" s="347">
        <f>(K139+K115+K114)/(1-J123)-0.02</f>
        <v>6353.4884838533117</v>
      </c>
      <c r="L141" s="16"/>
      <c r="M141" s="595">
        <f>M139+M140</f>
        <v>6353.49</v>
      </c>
      <c r="N141" s="504"/>
      <c r="O141" s="504"/>
      <c r="P141" s="504"/>
      <c r="Q141" s="504"/>
    </row>
    <row r="142" spans="2:17" s="17" customFormat="1">
      <c r="B142" s="1064" t="s">
        <v>100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v>2</v>
      </c>
      <c r="M142" s="503">
        <v>2</v>
      </c>
      <c r="N142" s="504"/>
      <c r="O142" s="504"/>
      <c r="P142" s="504"/>
      <c r="Q142" s="504"/>
    </row>
    <row r="143" spans="2:17" s="17" customFormat="1">
      <c r="B143" s="1064" t="s">
        <v>143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f>K141*K142</f>
        <v>12706.976967706623</v>
      </c>
      <c r="M143" s="595">
        <f>M141*M142</f>
        <v>12706.98</v>
      </c>
      <c r="N143" s="504"/>
      <c r="O143" s="504"/>
      <c r="P143" s="504"/>
      <c r="Q143" s="504"/>
    </row>
    <row r="144" spans="2:17" s="29" customFormat="1">
      <c r="B144" s="1064" t="s">
        <v>122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v>1</v>
      </c>
      <c r="M144" s="503">
        <v>1</v>
      </c>
      <c r="N144" s="504"/>
      <c r="O144" s="504"/>
      <c r="P144" s="504"/>
      <c r="Q144" s="504"/>
    </row>
    <row r="145" spans="2:17" s="29" customFormat="1" ht="15" customHeight="1">
      <c r="B145" s="1064" t="s">
        <v>144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f>K143*K144</f>
        <v>12706.976967706623</v>
      </c>
      <c r="M145" s="595">
        <f>M143*M144</f>
        <v>12706.98</v>
      </c>
      <c r="N145" s="504"/>
      <c r="O145" s="504"/>
      <c r="P145" s="504"/>
      <c r="Q145" s="504"/>
    </row>
    <row r="146" spans="2:17" s="29" customFormat="1">
      <c r="B146" s="1064" t="s">
        <v>145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K145*12+0.04</f>
        <v>152483.7636124795</v>
      </c>
      <c r="M146" s="503">
        <v>12</v>
      </c>
      <c r="N146" s="504"/>
      <c r="O146" s="504"/>
      <c r="P146" s="504"/>
      <c r="Q146" s="504"/>
    </row>
    <row r="147" spans="2:17" s="29" customFormat="1">
      <c r="B147" s="234"/>
      <c r="C147" s="421"/>
      <c r="D147" s="421"/>
      <c r="E147" s="421"/>
      <c r="F147" s="421"/>
      <c r="G147" s="421"/>
      <c r="H147" s="421"/>
      <c r="I147" s="421"/>
      <c r="J147" s="421"/>
      <c r="K147" s="421"/>
      <c r="M147" s="595">
        <f>M145*M146</f>
        <v>152483.76</v>
      </c>
      <c r="N147" s="504"/>
      <c r="O147" s="504"/>
      <c r="P147" s="504"/>
      <c r="Q147" s="504"/>
    </row>
    <row r="148" spans="2:17" s="423" customFormat="1" ht="15.75">
      <c r="B148" s="422"/>
      <c r="C148" s="422"/>
      <c r="D148" s="422"/>
      <c r="E148" s="422"/>
      <c r="F148" s="422"/>
      <c r="G148" s="422"/>
      <c r="H148" s="533"/>
      <c r="I148" s="533"/>
      <c r="J148" s="533"/>
      <c r="K148" s="533"/>
      <c r="M148" s="503"/>
      <c r="N148" s="504"/>
      <c r="O148" s="504"/>
      <c r="P148" s="504"/>
      <c r="Q148" s="504"/>
    </row>
    <row r="149" spans="2:17" s="423" customFormat="1" ht="15.75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ht="15.75">
      <c r="H150" s="533"/>
      <c r="I150" s="533"/>
      <c r="J150" s="533"/>
      <c r="K150" s="533"/>
    </row>
    <row r="151" spans="2:17" ht="15.75">
      <c r="H151" s="1059" t="s">
        <v>241</v>
      </c>
      <c r="I151" s="1059"/>
      <c r="J151" s="1059"/>
      <c r="K151" s="1059"/>
    </row>
    <row r="152" spans="2:17" ht="15.75">
      <c r="H152" s="1060" t="s">
        <v>242</v>
      </c>
      <c r="I152" s="1060"/>
      <c r="J152" s="1060"/>
      <c r="K152" s="1060"/>
    </row>
  </sheetData>
  <mergeCells count="162">
    <mergeCell ref="H151:K151"/>
    <mergeCell ref="H152:K152"/>
    <mergeCell ref="B141:J141"/>
    <mergeCell ref="B142:J142"/>
    <mergeCell ref="B143:J143"/>
    <mergeCell ref="B144:J144"/>
    <mergeCell ref="B145:J145"/>
    <mergeCell ref="B146:J146"/>
    <mergeCell ref="C135:J135"/>
    <mergeCell ref="C136:J136"/>
    <mergeCell ref="C137:J137"/>
    <mergeCell ref="C138:J138"/>
    <mergeCell ref="B139:J139"/>
    <mergeCell ref="C140:J140"/>
    <mergeCell ref="D126:I126"/>
    <mergeCell ref="D128:I128"/>
    <mergeCell ref="D130:I130"/>
    <mergeCell ref="B132:K132"/>
    <mergeCell ref="B133:J133"/>
    <mergeCell ref="C134:J134"/>
    <mergeCell ref="C119:I119"/>
    <mergeCell ref="C120:I120"/>
    <mergeCell ref="B121:I121"/>
    <mergeCell ref="D122:K122"/>
    <mergeCell ref="D123:I123"/>
    <mergeCell ref="J123:K124"/>
    <mergeCell ref="D124:I124"/>
    <mergeCell ref="C113:I113"/>
    <mergeCell ref="C114:I114"/>
    <mergeCell ref="C115:I115"/>
    <mergeCell ref="C116:K116"/>
    <mergeCell ref="C117:I117"/>
    <mergeCell ref="C118:I118"/>
    <mergeCell ref="C107:J107"/>
    <mergeCell ref="C108:I108"/>
    <mergeCell ref="C109:I109"/>
    <mergeCell ref="C110:I110"/>
    <mergeCell ref="B111:I111"/>
    <mergeCell ref="B112:K112"/>
    <mergeCell ref="C101:J101"/>
    <mergeCell ref="C102:J102"/>
    <mergeCell ref="B103:J103"/>
    <mergeCell ref="B104:I104"/>
    <mergeCell ref="B105:K105"/>
    <mergeCell ref="B106:K106"/>
    <mergeCell ref="B94:K94"/>
    <mergeCell ref="B95:J95"/>
    <mergeCell ref="C96:J96"/>
    <mergeCell ref="B97:J97"/>
    <mergeCell ref="B99:K99"/>
    <mergeCell ref="B100:J100"/>
    <mergeCell ref="C88:I88"/>
    <mergeCell ref="C89:I89"/>
    <mergeCell ref="C90:I90"/>
    <mergeCell ref="C91:I91"/>
    <mergeCell ref="C92:I92"/>
    <mergeCell ref="B93:I93"/>
    <mergeCell ref="C82:I82"/>
    <mergeCell ref="B83:I83"/>
    <mergeCell ref="C84:K84"/>
    <mergeCell ref="B85:K85"/>
    <mergeCell ref="B86:I86"/>
    <mergeCell ref="C87:I87"/>
    <mergeCell ref="C76:I76"/>
    <mergeCell ref="C77:I77"/>
    <mergeCell ref="C78:I78"/>
    <mergeCell ref="C79:I79"/>
    <mergeCell ref="C80:I80"/>
    <mergeCell ref="C81:I81"/>
    <mergeCell ref="C71:J71"/>
    <mergeCell ref="C72:J72"/>
    <mergeCell ref="C73:J73"/>
    <mergeCell ref="C74:J74"/>
    <mergeCell ref="B75:K75"/>
    <mergeCell ref="M75:N75"/>
    <mergeCell ref="B67:J67"/>
    <mergeCell ref="C68:K68"/>
    <mergeCell ref="M68:N68"/>
    <mergeCell ref="B69:K69"/>
    <mergeCell ref="B70:J70"/>
    <mergeCell ref="M70:N70"/>
    <mergeCell ref="C61:K61"/>
    <mergeCell ref="M61:N61"/>
    <mergeCell ref="B62:J62"/>
    <mergeCell ref="C63:J63"/>
    <mergeCell ref="C64:J64"/>
    <mergeCell ref="C65:J65"/>
    <mergeCell ref="C56:I56"/>
    <mergeCell ref="C57:I57"/>
    <mergeCell ref="C58:I58"/>
    <mergeCell ref="C59:I59"/>
    <mergeCell ref="M59:N59"/>
    <mergeCell ref="B60:I60"/>
    <mergeCell ref="B51:I51"/>
    <mergeCell ref="C52:I52"/>
    <mergeCell ref="M52:N53"/>
    <mergeCell ref="C53:I53"/>
    <mergeCell ref="C54:I54"/>
    <mergeCell ref="C55:I55"/>
    <mergeCell ref="B45:K45"/>
    <mergeCell ref="B46:I46"/>
    <mergeCell ref="C47:I47"/>
    <mergeCell ref="C48:I48"/>
    <mergeCell ref="B49:I49"/>
    <mergeCell ref="B50:K50"/>
    <mergeCell ref="D39:I39"/>
    <mergeCell ref="C40:I40"/>
    <mergeCell ref="B41:J41"/>
    <mergeCell ref="B42:J42"/>
    <mergeCell ref="N42:Q42"/>
    <mergeCell ref="N43:Q43"/>
    <mergeCell ref="C33:I33"/>
    <mergeCell ref="C34:I34"/>
    <mergeCell ref="C35:I35"/>
    <mergeCell ref="C36:I36"/>
    <mergeCell ref="D37:I37"/>
    <mergeCell ref="D38:I38"/>
    <mergeCell ref="C28:J28"/>
    <mergeCell ref="C29:J29"/>
    <mergeCell ref="C30:K30"/>
    <mergeCell ref="B31:K31"/>
    <mergeCell ref="M31:P31"/>
    <mergeCell ref="C32:I32"/>
    <mergeCell ref="M23:P23"/>
    <mergeCell ref="B24:K24"/>
    <mergeCell ref="C25:J25"/>
    <mergeCell ref="M25:Q25"/>
    <mergeCell ref="C26:J26"/>
    <mergeCell ref="C27:J27"/>
    <mergeCell ref="B17:K17"/>
    <mergeCell ref="B19:G19"/>
    <mergeCell ref="I19:K19"/>
    <mergeCell ref="B20:G20"/>
    <mergeCell ref="I20:K20"/>
    <mergeCell ref="B22:K22"/>
    <mergeCell ref="C13:G13"/>
    <mergeCell ref="H13:K13"/>
    <mergeCell ref="M13:P13"/>
    <mergeCell ref="C14:G14"/>
    <mergeCell ref="H14:K14"/>
    <mergeCell ref="C15:G15"/>
    <mergeCell ref="H15:K15"/>
    <mergeCell ref="M15:Q15"/>
    <mergeCell ref="C8:G8"/>
    <mergeCell ref="H8:K8"/>
    <mergeCell ref="H9:K9"/>
    <mergeCell ref="B10:K10"/>
    <mergeCell ref="B11:K11"/>
    <mergeCell ref="C12:G12"/>
    <mergeCell ref="H12:K12"/>
    <mergeCell ref="B4:K4"/>
    <mergeCell ref="M4:Q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4" orientation="portrait" horizontalDpi="360" verticalDpi="360" r:id="rId1"/>
  <headerFooter>
    <oddHeader>&amp;L&amp;G&amp;R&amp;G</oddHeader>
  </headerFooter>
  <rowBreaks count="1" manualBreakCount="1">
    <brk id="83" min="1" max="10" man="1"/>
  </row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B1:R152"/>
  <sheetViews>
    <sheetView view="pageBreakPreview" topLeftCell="A124" zoomScale="85" zoomScaleNormal="55" zoomScaleSheetLayoutView="85" workbookViewId="0">
      <selection activeCell="K147" sqref="K147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28.140625" style="236" customWidth="1"/>
    <col min="8" max="8" width="19.140625" style="236" customWidth="1"/>
    <col min="9" max="9" width="20.28515625" style="236" customWidth="1"/>
    <col min="10" max="10" width="11.140625" style="236" customWidth="1"/>
    <col min="11" max="11" width="17.5703125" style="236" customWidth="1"/>
    <col min="12" max="12" width="8.140625" style="2" bestFit="1" customWidth="1"/>
    <col min="13" max="13" width="37.28515625" style="503" customWidth="1"/>
    <col min="14" max="14" width="13.85546875" style="504" customWidth="1"/>
    <col min="15" max="15" width="18" style="504" bestFit="1" customWidth="1"/>
    <col min="16" max="16" width="21.42578125" style="504" customWidth="1"/>
    <col min="17" max="17" width="18.5703125" style="504" customWidth="1"/>
    <col min="18" max="18" width="9.5703125" style="2" bestFit="1" customWidth="1"/>
    <col min="19" max="16384" width="9.140625" style="2"/>
  </cols>
  <sheetData>
    <row r="1" spans="2:17" s="6" customFormat="1" ht="14.45" customHeight="1">
      <c r="B1" s="987" t="s">
        <v>308</v>
      </c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 t="str">
        <f>B1</f>
        <v>PREGÃO ELETRÔNICO Nº 02/2021 - PROCESSO: 10283-721.005/2021-37</v>
      </c>
      <c r="N1" s="988"/>
      <c r="O1" s="988"/>
      <c r="P1" s="988"/>
      <c r="Q1" s="988"/>
    </row>
    <row r="2" spans="2:17" s="6" customFormat="1" ht="12.75">
      <c r="B2" s="989" t="s">
        <v>139</v>
      </c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7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 t="s">
        <v>127</v>
      </c>
      <c r="K3" s="343" t="s">
        <v>309</v>
      </c>
      <c r="L3" s="5"/>
      <c r="M3" s="997"/>
      <c r="N3" s="997"/>
      <c r="O3" s="997"/>
      <c r="P3" s="997"/>
      <c r="Q3" s="997"/>
    </row>
    <row r="4" spans="2:17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7" s="6" customFormat="1" ht="17.25" customHeight="1">
      <c r="B5" s="1014" t="s">
        <v>310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7" s="6" customFormat="1" ht="12.75">
      <c r="B6" s="552" t="s">
        <v>128</v>
      </c>
      <c r="C6" s="313" t="s">
        <v>129</v>
      </c>
      <c r="D6" s="314"/>
      <c r="E6" s="314"/>
      <c r="F6" s="314"/>
      <c r="G6" s="314"/>
      <c r="H6" s="1015" t="str">
        <f>K3</f>
        <v>14/04/2021 - 10:00H</v>
      </c>
      <c r="I6" s="1015"/>
      <c r="J6" s="1015"/>
      <c r="K6" s="1015"/>
      <c r="L6" s="5"/>
      <c r="M6" s="591" t="s">
        <v>118</v>
      </c>
      <c r="N6" s="322">
        <v>4</v>
      </c>
      <c r="O6" s="510">
        <v>60</v>
      </c>
      <c r="P6" s="322">
        <v>12</v>
      </c>
      <c r="Q6" s="592">
        <f>(N6*O6)/P6</f>
        <v>20</v>
      </c>
    </row>
    <row r="7" spans="2:17" s="6" customFormat="1" ht="12.75">
      <c r="B7" s="552" t="s">
        <v>8</v>
      </c>
      <c r="C7" s="1001" t="s">
        <v>130</v>
      </c>
      <c r="D7" s="1002"/>
      <c r="E7" s="1002"/>
      <c r="F7" s="1002"/>
      <c r="G7" s="1003"/>
      <c r="H7" s="1015" t="s">
        <v>350</v>
      </c>
      <c r="I7" s="1015"/>
      <c r="J7" s="1015"/>
      <c r="K7" s="1015"/>
      <c r="L7" s="5"/>
      <c r="M7" s="591" t="s">
        <v>334</v>
      </c>
      <c r="N7" s="322">
        <v>4</v>
      </c>
      <c r="O7" s="510">
        <v>60</v>
      </c>
      <c r="P7" s="322">
        <v>12</v>
      </c>
      <c r="Q7" s="592">
        <f>(N7*O7)/P7</f>
        <v>20</v>
      </c>
    </row>
    <row r="8" spans="2:17" s="6" customFormat="1" ht="12.75">
      <c r="B8" s="552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75</v>
      </c>
      <c r="P8" s="322">
        <v>12</v>
      </c>
      <c r="Q8" s="592">
        <f>O8/P8</f>
        <v>6.25</v>
      </c>
    </row>
    <row r="9" spans="2:17" s="6" customFormat="1" ht="12.75">
      <c r="B9" s="552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10</v>
      </c>
      <c r="O9" s="510">
        <v>8</v>
      </c>
      <c r="P9" s="322">
        <v>12</v>
      </c>
      <c r="Q9" s="592">
        <f>O9/P9</f>
        <v>0.66666666666666663</v>
      </c>
    </row>
    <row r="10" spans="2:17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20</v>
      </c>
      <c r="P10" s="322">
        <v>12</v>
      </c>
      <c r="Q10" s="592">
        <f t="shared" ref="Q10:Q11" si="0">(N10*O10)/P10</f>
        <v>3.3333333333333335</v>
      </c>
    </row>
    <row r="11" spans="2:17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119</v>
      </c>
      <c r="N11" s="322">
        <v>2</v>
      </c>
      <c r="O11" s="510">
        <v>25</v>
      </c>
      <c r="P11" s="322">
        <v>12</v>
      </c>
      <c r="Q11" s="592">
        <f t="shared" si="0"/>
        <v>4.166666666666667</v>
      </c>
    </row>
    <row r="12" spans="2:17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12 horas diurnas 12x36 de segunda - feira a domingo</v>
      </c>
      <c r="I12" s="1010"/>
      <c r="J12" s="1010"/>
      <c r="K12" s="1010"/>
      <c r="L12" s="5"/>
      <c r="M12" s="591" t="s">
        <v>335</v>
      </c>
      <c r="N12" s="322">
        <v>2</v>
      </c>
      <c r="O12" s="510">
        <v>15</v>
      </c>
      <c r="P12" s="322">
        <v>12</v>
      </c>
      <c r="Q12" s="592">
        <f>(N12*O12)/P12</f>
        <v>2.5</v>
      </c>
    </row>
    <row r="13" spans="2:17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593">
        <f>Q6+Q7+Q8+Q9+Q10+Q11+Q12</f>
        <v>56.916666666666664</v>
      </c>
    </row>
    <row r="14" spans="2:17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7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43831</v>
      </c>
      <c r="I15" s="1024"/>
      <c r="J15" s="1024"/>
      <c r="K15" s="1024"/>
      <c r="L15" s="5"/>
      <c r="M15" s="986" t="s">
        <v>188</v>
      </c>
      <c r="N15" s="986"/>
      <c r="O15" s="986"/>
      <c r="P15" s="986"/>
      <c r="Q15" s="986"/>
    </row>
    <row r="16" spans="2:17" s="17" customFormat="1" ht="12.75">
      <c r="B16" s="291"/>
      <c r="C16" s="542"/>
      <c r="D16" s="539"/>
      <c r="E16" s="539"/>
      <c r="F16" s="539"/>
      <c r="G16" s="539"/>
      <c r="H16" s="539"/>
      <c r="I16" s="539"/>
      <c r="J16" s="539"/>
      <c r="K16" s="543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120</v>
      </c>
      <c r="N17" s="326">
        <v>1</v>
      </c>
      <c r="O17" s="515">
        <v>30</v>
      </c>
      <c r="P17" s="326">
        <v>12</v>
      </c>
      <c r="Q17" s="516">
        <f>(N17*O17)/P17</f>
        <v>2.5</v>
      </c>
    </row>
    <row r="18" spans="2:17" s="17" customFormat="1" ht="12.75">
      <c r="B18" s="291"/>
      <c r="C18" s="542"/>
      <c r="D18" s="539"/>
      <c r="E18" s="539"/>
      <c r="F18" s="539"/>
      <c r="G18" s="539"/>
      <c r="H18" s="539"/>
      <c r="I18" s="539"/>
      <c r="J18" s="542"/>
      <c r="K18" s="543"/>
      <c r="M18" s="327" t="s">
        <v>337</v>
      </c>
      <c r="N18" s="326">
        <v>1</v>
      </c>
      <c r="O18" s="515">
        <v>20</v>
      </c>
      <c r="P18" s="326">
        <v>12</v>
      </c>
      <c r="Q18" s="515">
        <f>N18*O18/P18</f>
        <v>1.6666666666666667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551" t="s">
        <v>26</v>
      </c>
      <c r="I19" s="1018" t="s">
        <v>336</v>
      </c>
      <c r="J19" s="1018"/>
      <c r="K19" s="1018"/>
      <c r="M19" s="328" t="s">
        <v>338</v>
      </c>
      <c r="N19" s="326">
        <v>2</v>
      </c>
      <c r="O19" s="515">
        <v>20</v>
      </c>
      <c r="P19" s="326">
        <v>12</v>
      </c>
      <c r="Q19" s="515">
        <f t="shared" ref="Q19" si="1">(N19*O19)/P19</f>
        <v>3.3333333333333335</v>
      </c>
    </row>
    <row r="20" spans="2:17" s="17" customFormat="1" ht="12.75">
      <c r="B20" s="1019" t="str">
        <f>H12</f>
        <v>Vigilância armada 12 horas diurnas 12x36 de segunda - feira a domingo</v>
      </c>
      <c r="C20" s="1020"/>
      <c r="D20" s="1020"/>
      <c r="E20" s="1020"/>
      <c r="F20" s="1020"/>
      <c r="G20" s="1020"/>
      <c r="H20" s="317" t="s">
        <v>94</v>
      </c>
      <c r="I20" s="1021">
        <v>2</v>
      </c>
      <c r="J20" s="1021"/>
      <c r="K20" s="1021"/>
      <c r="M20" s="328" t="s">
        <v>339</v>
      </c>
      <c r="N20" s="322">
        <v>1</v>
      </c>
      <c r="O20" s="510">
        <v>80</v>
      </c>
      <c r="P20" s="322">
        <v>60</v>
      </c>
      <c r="Q20" s="510">
        <f>(N20*O20)/P20</f>
        <v>1.3333333333333333</v>
      </c>
    </row>
    <row r="21" spans="2:17" s="17" customFormat="1" ht="12.75">
      <c r="B21" s="291"/>
      <c r="C21" s="542"/>
      <c r="D21" s="539"/>
      <c r="E21" s="539"/>
      <c r="F21" s="539"/>
      <c r="G21" s="539"/>
      <c r="H21" s="539"/>
      <c r="I21" s="539"/>
      <c r="J21" s="539"/>
      <c r="K21" s="543"/>
      <c r="M21" s="321" t="s">
        <v>340</v>
      </c>
      <c r="N21" s="322">
        <v>1</v>
      </c>
      <c r="O21" s="510">
        <v>600</v>
      </c>
      <c r="P21" s="322">
        <v>12</v>
      </c>
      <c r="Q21" s="510">
        <f>(N21*O21)/P21</f>
        <v>50</v>
      </c>
    </row>
    <row r="22" spans="2:17" s="17" customFormat="1" ht="12.7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341</v>
      </c>
      <c r="N22" s="322">
        <v>1</v>
      </c>
      <c r="O22" s="510">
        <v>80</v>
      </c>
      <c r="P22" s="322">
        <v>12</v>
      </c>
      <c r="Q22" s="510">
        <f t="shared" ref="Q22" si="2">(N22*O22)/P22</f>
        <v>6.666666666666667</v>
      </c>
    </row>
    <row r="23" spans="2:17" s="17" customFormat="1" ht="12.75">
      <c r="B23" s="291"/>
      <c r="C23" s="539"/>
      <c r="D23" s="539"/>
      <c r="E23" s="539"/>
      <c r="F23" s="539"/>
      <c r="G23" s="539"/>
      <c r="H23" s="539"/>
      <c r="I23" s="539"/>
      <c r="J23" s="539"/>
      <c r="K23" s="543"/>
      <c r="M23" s="986" t="s">
        <v>147</v>
      </c>
      <c r="N23" s="986"/>
      <c r="O23" s="986"/>
      <c r="P23" s="986"/>
      <c r="Q23" s="329">
        <f>Q17+Q18+Q19+Q20+Q21+Q22</f>
        <v>65.5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986" t="s">
        <v>188</v>
      </c>
      <c r="N25" s="986"/>
      <c r="O25" s="986"/>
      <c r="P25" s="986"/>
      <c r="Q25" s="986"/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323" t="s">
        <v>114</v>
      </c>
      <c r="N26" s="324" t="s">
        <v>115</v>
      </c>
      <c r="O26" s="324" t="s">
        <v>116</v>
      </c>
      <c r="P26" s="324" t="s">
        <v>117</v>
      </c>
      <c r="Q26" s="324" t="s">
        <v>97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  <c r="M27" s="328" t="s">
        <v>220</v>
      </c>
      <c r="N27" s="322">
        <v>1</v>
      </c>
      <c r="O27" s="510">
        <v>1500</v>
      </c>
      <c r="P27" s="326">
        <v>120</v>
      </c>
      <c r="Q27" s="516">
        <f>(N27*O27)/P27</f>
        <v>12.5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328" t="s">
        <v>343</v>
      </c>
      <c r="N28" s="322">
        <v>1</v>
      </c>
      <c r="O28" s="510">
        <v>50</v>
      </c>
      <c r="P28" s="326">
        <v>12</v>
      </c>
      <c r="Q28" s="515">
        <f>N28*O28/P28</f>
        <v>4.166666666666667</v>
      </c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8" t="s">
        <v>342</v>
      </c>
      <c r="N29" s="322">
        <v>8</v>
      </c>
      <c r="O29" s="510">
        <v>16</v>
      </c>
      <c r="P29" s="326">
        <v>60</v>
      </c>
      <c r="Q29" s="515">
        <f t="shared" ref="Q29:Q30" si="3">N29*O29/P29</f>
        <v>2.1333333333333333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344</v>
      </c>
      <c r="N30" s="322">
        <v>1</v>
      </c>
      <c r="O30" s="510">
        <v>120</v>
      </c>
      <c r="P30" s="326">
        <v>60</v>
      </c>
      <c r="Q30" s="515">
        <f t="shared" si="3"/>
        <v>2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986" t="s">
        <v>147</v>
      </c>
      <c r="N31" s="986"/>
      <c r="O31" s="986"/>
      <c r="P31" s="986"/>
      <c r="Q31" s="329">
        <f>Q27+Q28+Q29+Q30</f>
        <v>20.8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545" t="s">
        <v>3</v>
      </c>
      <c r="K32" s="545" t="s">
        <v>1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276">
        <f>K27</f>
        <v>1372.86</v>
      </c>
      <c r="L33" s="21"/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261">
        <v>0.3</v>
      </c>
      <c r="K34" s="276">
        <f>K33*J34</f>
        <v>411.85799999999995</v>
      </c>
      <c r="L34" s="21"/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0</v>
      </c>
      <c r="K35" s="276">
        <f>((K33+K34)/220)*0.2*J35</f>
        <v>0</v>
      </c>
      <c r="L35" s="22"/>
      <c r="R35" s="23"/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276">
        <f>J36*14.89</f>
        <v>0</v>
      </c>
      <c r="L36" s="22"/>
      <c r="R36" s="16"/>
    </row>
    <row r="37" spans="2:18" s="17" customFormat="1" ht="15" hidden="1" customHeight="1">
      <c r="B37" s="238"/>
      <c r="C37" s="243"/>
      <c r="D37" s="1027" t="s">
        <v>111</v>
      </c>
      <c r="E37" s="1027"/>
      <c r="F37" s="1027"/>
      <c r="G37" s="1027"/>
      <c r="H37" s="1027"/>
      <c r="I37" s="1027"/>
      <c r="J37" s="278">
        <v>0</v>
      </c>
      <c r="K37" s="276">
        <f>J37*15</f>
        <v>0</v>
      </c>
      <c r="L37" s="22"/>
      <c r="M37" s="503"/>
      <c r="N37" s="504"/>
      <c r="O37" s="504"/>
      <c r="P37" s="504"/>
      <c r="Q37" s="504"/>
    </row>
    <row r="38" spans="2:18" s="17" customFormat="1" ht="15" hidden="1" customHeight="1">
      <c r="B38" s="238"/>
      <c r="C38" s="545"/>
      <c r="D38" s="1027" t="s">
        <v>110</v>
      </c>
      <c r="E38" s="1027"/>
      <c r="F38" s="1027"/>
      <c r="G38" s="1027"/>
      <c r="H38" s="1027"/>
      <c r="I38" s="1027"/>
      <c r="J38" s="278">
        <v>0</v>
      </c>
      <c r="K38" s="276">
        <f>K37/6</f>
        <v>0</v>
      </c>
      <c r="L38" s="22"/>
      <c r="M38" s="503"/>
      <c r="N38" s="504"/>
      <c r="O38" s="504"/>
      <c r="P38" s="504"/>
      <c r="Q38" s="504"/>
    </row>
    <row r="39" spans="2:18" s="17" customFormat="1" ht="15" hidden="1" customHeight="1">
      <c r="B39" s="238"/>
      <c r="C39" s="545"/>
      <c r="D39" s="1027" t="s">
        <v>112</v>
      </c>
      <c r="E39" s="1027"/>
      <c r="F39" s="1027"/>
      <c r="G39" s="1027"/>
      <c r="H39" s="1027"/>
      <c r="I39" s="1027"/>
      <c r="J39" s="279">
        <v>0</v>
      </c>
      <c r="K39" s="276">
        <f>J39*J35</f>
        <v>0</v>
      </c>
      <c r="L39" s="22"/>
      <c r="M39" s="503"/>
      <c r="N39" s="504"/>
      <c r="O39" s="504"/>
      <c r="P39" s="504"/>
      <c r="Q39" s="504"/>
    </row>
    <row r="40" spans="2:18" s="17" customForma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>
        <f>(K35+K36)/6</f>
        <v>0</v>
      </c>
      <c r="L40" s="22"/>
      <c r="M40" s="503"/>
      <c r="N40" s="504"/>
      <c r="O40" s="504"/>
      <c r="P40" s="504"/>
      <c r="Q40" s="504"/>
    </row>
    <row r="41" spans="2:18" s="17" customForma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1784.7179999999998</v>
      </c>
      <c r="L41" s="22"/>
      <c r="M41" s="503"/>
      <c r="N41" s="504"/>
      <c r="O41" s="504"/>
      <c r="P41" s="504"/>
      <c r="Q41" s="504"/>
      <c r="R41" s="23"/>
    </row>
    <row r="42" spans="2:18" s="17" customForma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SUM(K41)</f>
        <v>1784.7179999999998</v>
      </c>
      <c r="L42" s="22"/>
      <c r="M42" s="503"/>
      <c r="N42" s="1035" t="s">
        <v>241</v>
      </c>
      <c r="O42" s="1035"/>
      <c r="P42" s="1035"/>
      <c r="Q42" s="1035"/>
    </row>
    <row r="43" spans="2:18" s="17" customFormat="1">
      <c r="B43" s="291"/>
      <c r="C43" s="547"/>
      <c r="D43" s="547"/>
      <c r="E43" s="547"/>
      <c r="F43" s="547"/>
      <c r="G43" s="547"/>
      <c r="H43" s="547"/>
      <c r="I43" s="547"/>
      <c r="J43" s="547"/>
      <c r="K43" s="293"/>
      <c r="L43" s="27"/>
      <c r="M43" s="503"/>
      <c r="N43" s="1101" t="s">
        <v>242</v>
      </c>
      <c r="O43" s="1101"/>
      <c r="P43" s="1101"/>
      <c r="Q43" s="1101"/>
    </row>
    <row r="44" spans="2:18" s="17" customFormat="1">
      <c r="B44" s="291"/>
      <c r="C44" s="547"/>
      <c r="D44" s="547"/>
      <c r="E44" s="547"/>
      <c r="F44" s="547"/>
      <c r="G44" s="547"/>
      <c r="H44" s="547"/>
      <c r="I44" s="547"/>
      <c r="J44" s="547"/>
      <c r="K44" s="294"/>
      <c r="L44" s="29"/>
      <c r="M44" s="503"/>
      <c r="N44" s="504"/>
      <c r="O44" s="504"/>
      <c r="P44" s="504"/>
      <c r="Q44" s="504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9"/>
      <c r="M45" s="503"/>
      <c r="N45" s="504"/>
      <c r="O45" s="504"/>
      <c r="P45" s="504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550" t="s">
        <v>3</v>
      </c>
      <c r="K46" s="550" t="s">
        <v>1</v>
      </c>
      <c r="L46" s="29"/>
      <c r="M46" s="503"/>
      <c r="N46" s="504"/>
      <c r="O46" s="504"/>
      <c r="P46" s="504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8.3299999999999999E-2</v>
      </c>
      <c r="K47" s="274">
        <f>$K$41*J47</f>
        <v>148.66700939999998</v>
      </c>
      <c r="L47" s="29"/>
      <c r="M47" s="503"/>
      <c r="N47" s="504"/>
      <c r="O47" s="504"/>
      <c r="P47" s="504"/>
      <c r="Q47" s="504"/>
    </row>
    <row r="48" spans="2:18" s="17" customFormat="1">
      <c r="B48" s="238" t="s">
        <v>8</v>
      </c>
      <c r="C48" s="1027" t="s">
        <v>172</v>
      </c>
      <c r="D48" s="1027"/>
      <c r="E48" s="1027"/>
      <c r="F48" s="1027"/>
      <c r="G48" s="1027"/>
      <c r="H48" s="1027"/>
      <c r="I48" s="1027"/>
      <c r="J48" s="411">
        <v>0.1111</v>
      </c>
      <c r="K48" s="274">
        <f>J48*K41</f>
        <v>198.28216979999999</v>
      </c>
      <c r="L48" s="29"/>
      <c r="M48" s="503"/>
      <c r="N48" s="504"/>
      <c r="O48" s="504"/>
      <c r="P48" s="504"/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0.19440000000000002</v>
      </c>
      <c r="K49" s="521">
        <f>SUM(K47:K48)</f>
        <v>346.9491792</v>
      </c>
      <c r="L49" s="29"/>
      <c r="M49" s="503"/>
      <c r="N49" s="504"/>
      <c r="O49" s="504"/>
      <c r="P49" s="504"/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503"/>
      <c r="N50" s="504"/>
      <c r="O50" s="504"/>
      <c r="P50" s="504"/>
      <c r="Q50" s="504"/>
    </row>
    <row r="51" spans="2:17" s="17" customFormat="1">
      <c r="B51" s="1030" t="s">
        <v>48</v>
      </c>
      <c r="C51" s="1030"/>
      <c r="D51" s="1030"/>
      <c r="E51" s="1030"/>
      <c r="F51" s="1030"/>
      <c r="G51" s="1030"/>
      <c r="H51" s="1030"/>
      <c r="I51" s="1030"/>
      <c r="J51" s="544" t="s">
        <v>3</v>
      </c>
      <c r="K51" s="544" t="s">
        <v>1</v>
      </c>
      <c r="L51" s="29"/>
      <c r="M51" s="503"/>
      <c r="N51" s="504"/>
      <c r="O51" s="504"/>
      <c r="P51" s="504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J52*$K$42</f>
        <v>356.9436</v>
      </c>
      <c r="L52" s="29"/>
      <c r="M52" s="1102" t="s">
        <v>313</v>
      </c>
      <c r="N52" s="1103"/>
      <c r="O52" s="568"/>
      <c r="P52" s="568"/>
      <c r="Q52" s="504"/>
    </row>
    <row r="53" spans="2:17" s="17" customFormat="1" ht="14.25" customHeigh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J53*$K$42</f>
        <v>44.61795</v>
      </c>
      <c r="L53" s="29"/>
      <c r="M53" s="1104"/>
      <c r="N53" s="1105"/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1.4999999999999999E-2</v>
      </c>
      <c r="K54" s="273">
        <f t="shared" si="4"/>
        <v>26.770769999999995</v>
      </c>
      <c r="L54" s="29"/>
      <c r="M54" s="569" t="s">
        <v>314</v>
      </c>
      <c r="N54" s="570">
        <v>25.5</v>
      </c>
      <c r="O54" s="568"/>
      <c r="P54" s="568"/>
      <c r="Q54" s="504"/>
    </row>
    <row r="55" spans="2:17" s="17" customFormat="1" ht="14.25" customHeigh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26.770769999999995</v>
      </c>
      <c r="L55" s="29"/>
      <c r="M55" s="569" t="s">
        <v>315</v>
      </c>
      <c r="N55" s="571">
        <v>15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17.847179999999998</v>
      </c>
      <c r="L56" s="29"/>
      <c r="M56" s="569" t="s">
        <v>316</v>
      </c>
      <c r="N56" s="570">
        <f>N54*N55</f>
        <v>382.5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10.708307999999999</v>
      </c>
      <c r="L57" s="29"/>
      <c r="M57" s="569" t="s">
        <v>317</v>
      </c>
      <c r="N57" s="570">
        <f>N56*5%</f>
        <v>19.125</v>
      </c>
      <c r="O57" s="572" t="s">
        <v>318</v>
      </c>
      <c r="P57" s="585" t="s">
        <v>316</v>
      </c>
      <c r="Q57" s="504"/>
    </row>
    <row r="58" spans="2:17" s="17" customForma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3.5694359999999996</v>
      </c>
      <c r="L58" s="29"/>
      <c r="M58" s="573" t="s">
        <v>319</v>
      </c>
      <c r="N58" s="574">
        <f>N56-N57</f>
        <v>363.375</v>
      </c>
      <c r="O58" s="575">
        <v>1</v>
      </c>
      <c r="P58" s="584">
        <f>O58*N58</f>
        <v>363.375</v>
      </c>
      <c r="Q58" s="504"/>
    </row>
    <row r="59" spans="2:17" s="17" customForma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142.77743999999998</v>
      </c>
      <c r="L59" s="29"/>
      <c r="M59" s="1066" t="s">
        <v>320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0.35300000000000004</v>
      </c>
      <c r="K60" s="521">
        <f>TRUNC(SUM(K52:K59),2)</f>
        <v>630</v>
      </c>
      <c r="L60" s="29"/>
      <c r="M60" s="576"/>
      <c r="N60" s="576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36" t="s">
        <v>321</v>
      </c>
      <c r="N61" s="1036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567" t="s">
        <v>1</v>
      </c>
      <c r="L62" s="29"/>
      <c r="M62" s="569" t="s">
        <v>322</v>
      </c>
      <c r="N62" s="577">
        <v>4</v>
      </c>
      <c r="O62" s="568"/>
      <c r="P62" s="568"/>
      <c r="Q62" s="504"/>
    </row>
    <row r="63" spans="2:17" s="17" customFormat="1" ht="13.5" customHeight="1">
      <c r="B63" s="548" t="s">
        <v>7</v>
      </c>
      <c r="C63" s="1091" t="s">
        <v>113</v>
      </c>
      <c r="D63" s="1092"/>
      <c r="E63" s="1092"/>
      <c r="F63" s="1092"/>
      <c r="G63" s="1092"/>
      <c r="H63" s="1092"/>
      <c r="I63" s="1092"/>
      <c r="J63" s="1093"/>
      <c r="K63" s="549">
        <f>P67</f>
        <v>37.628400000000013</v>
      </c>
      <c r="L63" s="29"/>
      <c r="M63" s="569" t="s">
        <v>323</v>
      </c>
      <c r="N63" s="577">
        <v>2</v>
      </c>
      <c r="O63" s="568"/>
      <c r="P63" s="568"/>
      <c r="Q63" s="504"/>
    </row>
    <row r="64" spans="2:17" s="17" customFormat="1" ht="13.5" customHeight="1">
      <c r="B64" s="548" t="s">
        <v>8</v>
      </c>
      <c r="C64" s="1091" t="s">
        <v>173</v>
      </c>
      <c r="D64" s="1092"/>
      <c r="E64" s="1092"/>
      <c r="F64" s="1092"/>
      <c r="G64" s="1092"/>
      <c r="H64" s="1092"/>
      <c r="I64" s="1092"/>
      <c r="J64" s="1093"/>
      <c r="K64" s="271">
        <f>P58</f>
        <v>363.375</v>
      </c>
      <c r="L64" s="27"/>
      <c r="M64" s="569" t="s">
        <v>324</v>
      </c>
      <c r="N64" s="571">
        <v>15</v>
      </c>
      <c r="O64" s="568"/>
      <c r="P64" s="568"/>
      <c r="Q64" s="504"/>
    </row>
    <row r="65" spans="2:17" s="17" customFormat="1" ht="13.5" customHeight="1">
      <c r="B65" s="548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95"/>
      <c r="K65" s="271">
        <f>N74</f>
        <v>108.23</v>
      </c>
      <c r="L65" s="27"/>
      <c r="M65" s="569" t="s">
        <v>325</v>
      </c>
      <c r="N65" s="577">
        <f>(N62*N63)*N64</f>
        <v>120</v>
      </c>
      <c r="O65" s="568"/>
      <c r="P65" s="568"/>
      <c r="Q65" s="504"/>
    </row>
    <row r="66" spans="2:17" s="17" customFormat="1" ht="14.25" customHeight="1">
      <c r="B66" s="548" t="s">
        <v>10</v>
      </c>
      <c r="C66" s="563" t="s">
        <v>291</v>
      </c>
      <c r="D66" s="564"/>
      <c r="E66" s="565"/>
      <c r="F66" s="565"/>
      <c r="G66" s="565"/>
      <c r="H66" s="565"/>
      <c r="I66" s="565"/>
      <c r="J66" s="566"/>
      <c r="K66" s="271"/>
      <c r="L66" s="27"/>
      <c r="M66" s="569" t="s">
        <v>326</v>
      </c>
      <c r="N66" s="577">
        <f>K33*6%</f>
        <v>82.371599999999987</v>
      </c>
      <c r="O66" s="572" t="s">
        <v>318</v>
      </c>
      <c r="P66" s="585" t="s">
        <v>316</v>
      </c>
      <c r="Q66" s="504"/>
    </row>
    <row r="67" spans="2:17" s="17" customForma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SUM(K63:K65)</f>
        <v>509.23340000000002</v>
      </c>
      <c r="L67" s="29"/>
      <c r="M67" s="573" t="s">
        <v>319</v>
      </c>
      <c r="N67" s="578">
        <f>N65-N66</f>
        <v>37.628400000000013</v>
      </c>
      <c r="O67" s="575">
        <v>1</v>
      </c>
      <c r="P67" s="584">
        <f>O67*N67</f>
        <v>37.628400000000013</v>
      </c>
      <c r="Q67" s="504"/>
    </row>
    <row r="68" spans="2:17" s="17" customForma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9"/>
      <c r="M68" s="1066" t="s">
        <v>327</v>
      </c>
      <c r="N68" s="1066"/>
      <c r="O68" s="568"/>
      <c r="P68" s="568"/>
      <c r="Q68" s="504"/>
    </row>
    <row r="69" spans="2:17" s="17" customFormat="1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9"/>
      <c r="M69" s="568"/>
      <c r="N69" s="568"/>
      <c r="O69" s="568"/>
      <c r="P69" s="568"/>
      <c r="Q69" s="504"/>
    </row>
    <row r="70" spans="2:17" s="17" customFormat="1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544" t="s">
        <v>1</v>
      </c>
      <c r="L70" s="29"/>
      <c r="M70" s="1067" t="s">
        <v>328</v>
      </c>
      <c r="N70" s="1067"/>
      <c r="O70" s="568"/>
      <c r="P70" s="568"/>
      <c r="Q70" s="504"/>
    </row>
    <row r="71" spans="2:17" s="17" customFormat="1">
      <c r="B71" s="540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346.9491792</v>
      </c>
      <c r="L71" s="29"/>
      <c r="M71" s="569" t="s">
        <v>329</v>
      </c>
      <c r="N71" s="579">
        <v>109.23</v>
      </c>
      <c r="O71" s="568"/>
      <c r="P71" s="568"/>
      <c r="Q71" s="504"/>
    </row>
    <row r="72" spans="2:17" s="17" customFormat="1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630</v>
      </c>
      <c r="L72" s="29"/>
      <c r="M72" s="569" t="s">
        <v>330</v>
      </c>
      <c r="N72" s="579">
        <v>1</v>
      </c>
      <c r="O72" s="568"/>
      <c r="P72" s="568"/>
      <c r="Q72" s="504"/>
    </row>
    <row r="73" spans="2:17" s="17" customFormat="1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509.23340000000002</v>
      </c>
      <c r="L73" s="29"/>
      <c r="M73" s="569" t="s">
        <v>331</v>
      </c>
      <c r="N73" s="580">
        <v>1</v>
      </c>
      <c r="O73" s="568"/>
      <c r="P73" s="568"/>
      <c r="Q73" s="504"/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1486.18</v>
      </c>
      <c r="L74" s="29"/>
      <c r="M74" s="581" t="s">
        <v>332</v>
      </c>
      <c r="N74" s="583">
        <f>(N71-N72)*N73</f>
        <v>108.23</v>
      </c>
      <c r="O74" s="582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1066" t="s">
        <v>333</v>
      </c>
      <c r="N75" s="1066"/>
      <c r="O75" s="582"/>
      <c r="P75" s="568"/>
      <c r="Q75" s="504"/>
    </row>
    <row r="76" spans="2:17" s="17" customFormat="1">
      <c r="B76" s="545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545" t="s">
        <v>3</v>
      </c>
      <c r="K76" s="545" t="s">
        <v>1</v>
      </c>
      <c r="L76" s="29"/>
      <c r="M76" s="503"/>
      <c r="N76" s="504"/>
      <c r="O76" s="504"/>
      <c r="P76" s="504"/>
      <c r="Q76" s="504"/>
    </row>
    <row r="77" spans="2:17" s="17" customFormat="1">
      <c r="B77" s="545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416">
        <v>4.4999999999999997E-3</v>
      </c>
      <c r="K77" s="246">
        <f>K42*J77</f>
        <v>8.0312309999999982</v>
      </c>
      <c r="L77" s="29"/>
      <c r="M77" s="503"/>
      <c r="N77" s="504"/>
      <c r="O77" s="504"/>
      <c r="P77" s="504"/>
      <c r="Q77" s="504"/>
    </row>
    <row r="78" spans="2:17" s="17" customFormat="1">
      <c r="B78" s="545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3.5999999999999997E-4</v>
      </c>
      <c r="K78" s="242">
        <f>J78*K42</f>
        <v>0.64249847999999987</v>
      </c>
      <c r="L78" s="29"/>
      <c r="M78" s="503"/>
      <c r="N78" s="504"/>
      <c r="O78" s="504"/>
      <c r="P78" s="504"/>
      <c r="Q78" s="504"/>
    </row>
    <row r="79" spans="2:17" s="17" customFormat="1">
      <c r="B79" s="545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0.02</v>
      </c>
      <c r="K79" s="242">
        <f>J79*K41</f>
        <v>35.694359999999996</v>
      </c>
      <c r="L79" s="29"/>
      <c r="M79" s="503"/>
      <c r="N79" s="504"/>
      <c r="O79" s="504"/>
      <c r="P79" s="504"/>
      <c r="Q79" s="504"/>
    </row>
    <row r="80" spans="2:17" s="17" customFormat="1">
      <c r="B80" s="545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J80*K41</f>
        <v>34.702849999999998</v>
      </c>
      <c r="L80" s="29"/>
      <c r="M80" s="503"/>
      <c r="N80" s="504"/>
      <c r="O80" s="504"/>
      <c r="P80" s="504"/>
      <c r="Q80" s="504"/>
    </row>
    <row r="81" spans="2:17" s="17" customFormat="1">
      <c r="B81" s="545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6.8638888888888899E-3</v>
      </c>
      <c r="K81" s="242">
        <f>J81*K41</f>
        <v>12.250106050000001</v>
      </c>
      <c r="L81" s="29"/>
      <c r="M81" s="503"/>
      <c r="N81" s="504"/>
      <c r="O81" s="504"/>
      <c r="P81" s="504"/>
      <c r="Q81" s="504"/>
    </row>
    <row r="82" spans="2:17" s="17" customFormat="1">
      <c r="B82" s="545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0.02</v>
      </c>
      <c r="K82" s="242">
        <f>J82*K41</f>
        <v>35.694359999999996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7.1168333333333333E-2</v>
      </c>
      <c r="K83" s="260">
        <f>TRUNC(SUM(K77:K82),2)</f>
        <v>127.01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545" t="s">
        <v>3</v>
      </c>
      <c r="K86" s="545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545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f>1/12</f>
        <v>8.3333333333333329E-2</v>
      </c>
      <c r="K87" s="242">
        <f>$K$41*J87</f>
        <v>148.72649999999999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6">
        <f t="shared" ref="K88:K92" si="5">$K$41*J88</f>
        <v>8.0312309999999982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2.0000000000000001E-4</v>
      </c>
      <c r="K89" s="246">
        <f t="shared" si="5"/>
        <v>0.35694359999999997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2.9999999999999997E-4</v>
      </c>
      <c r="K90" s="246">
        <f t="shared" si="5"/>
        <v>0.53541539999999987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0</v>
      </c>
      <c r="K91" s="246">
        <f t="shared" si="5"/>
        <v>0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6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8.8333333333333333E-2</v>
      </c>
      <c r="K93" s="260">
        <f>SUM(K87:K92)</f>
        <v>157.65008999999998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544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545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f>((K33+K34)/192)*1.5*15</f>
        <v>209.14664062499997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209.14664062499997</v>
      </c>
      <c r="L97" s="29"/>
      <c r="M97" s="503"/>
      <c r="N97" s="504"/>
      <c r="O97" s="504"/>
      <c r="P97" s="504"/>
      <c r="Q97" s="504"/>
    </row>
    <row r="98" spans="2:17" s="17" customFormat="1">
      <c r="B98" s="541"/>
      <c r="C98" s="542"/>
      <c r="D98" s="542"/>
      <c r="E98" s="542"/>
      <c r="F98" s="542"/>
      <c r="G98" s="542"/>
      <c r="H98" s="542"/>
      <c r="I98" s="542"/>
      <c r="J98" s="542"/>
      <c r="K98" s="543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544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545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157.65008999999998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209.14664062499997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366.79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0.70690166666666665</v>
      </c>
      <c r="K104" s="520">
        <f>K93+K83+K60+K49</f>
        <v>1261.6092692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544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544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545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56.916666666666664</v>
      </c>
      <c r="L108" s="29"/>
      <c r="M108" s="503"/>
      <c r="N108" s="504"/>
      <c r="O108" s="504"/>
      <c r="P108" s="504"/>
      <c r="Q108" s="504"/>
    </row>
    <row r="109" spans="2:17" s="17" customFormat="1">
      <c r="B109" s="545" t="s">
        <v>8</v>
      </c>
      <c r="C109" s="1038" t="s">
        <v>345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Q23</f>
        <v>65.5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346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Q31</f>
        <v>20.8</v>
      </c>
      <c r="L110" s="29"/>
      <c r="M110" s="503"/>
      <c r="N110" s="504"/>
      <c r="O110" s="504"/>
      <c r="P110" s="504"/>
      <c r="Q110" s="504"/>
    </row>
    <row r="111" spans="2:17" s="17" customFormat="1">
      <c r="B111" s="1083" t="s">
        <v>70</v>
      </c>
      <c r="C111" s="1083"/>
      <c r="D111" s="1083"/>
      <c r="E111" s="1083"/>
      <c r="F111" s="1083"/>
      <c r="G111" s="1083"/>
      <c r="H111" s="1083"/>
      <c r="I111" s="1083"/>
      <c r="J111" s="419" t="s">
        <v>0</v>
      </c>
      <c r="K111" s="415">
        <f>TRUNC(SUM(K108:K110),2)</f>
        <v>143.21</v>
      </c>
      <c r="L111" s="29"/>
      <c r="M111" s="503"/>
      <c r="N111" s="504"/>
      <c r="O111" s="504"/>
      <c r="P111" s="504"/>
      <c r="Q111" s="504"/>
    </row>
    <row r="112" spans="2:17" s="17" customFormat="1">
      <c r="B112" s="1084" t="s">
        <v>71</v>
      </c>
      <c r="C112" s="1084"/>
      <c r="D112" s="1084"/>
      <c r="E112" s="1084"/>
      <c r="F112" s="1084"/>
      <c r="G112" s="1084"/>
      <c r="H112" s="1084"/>
      <c r="I112" s="1084"/>
      <c r="J112" s="1084"/>
      <c r="K112" s="1084"/>
      <c r="L112" s="29"/>
      <c r="M112" s="503"/>
      <c r="N112" s="504"/>
      <c r="O112" s="504"/>
      <c r="P112" s="504"/>
      <c r="Q112" s="504"/>
    </row>
    <row r="113" spans="2:18" s="17" customFormat="1">
      <c r="B113" s="545">
        <v>6</v>
      </c>
      <c r="C113" s="1085" t="s">
        <v>18</v>
      </c>
      <c r="D113" s="1085"/>
      <c r="E113" s="1085"/>
      <c r="F113" s="1085"/>
      <c r="G113" s="1085"/>
      <c r="H113" s="1085"/>
      <c r="I113" s="1085"/>
      <c r="J113" s="545" t="s">
        <v>3</v>
      </c>
      <c r="K113" s="545" t="s">
        <v>1</v>
      </c>
      <c r="L113" s="29"/>
      <c r="M113" s="503"/>
      <c r="N113" s="504"/>
      <c r="O113" s="504"/>
      <c r="P113" s="504"/>
      <c r="Q113" s="504"/>
    </row>
    <row r="114" spans="2:18" s="17" customFormat="1">
      <c r="B114" s="545" t="s">
        <v>7</v>
      </c>
      <c r="C114" s="1044" t="s">
        <v>21</v>
      </c>
      <c r="D114" s="1044"/>
      <c r="E114" s="1044"/>
      <c r="F114" s="1044"/>
      <c r="G114" s="1044"/>
      <c r="H114" s="1044"/>
      <c r="I114" s="1044"/>
      <c r="J114" s="411">
        <v>0.1</v>
      </c>
      <c r="K114" s="355">
        <f>TRUNC(J114*K139,2)</f>
        <v>390.79</v>
      </c>
      <c r="L114" s="29"/>
      <c r="M114" s="503"/>
      <c r="N114" s="504"/>
      <c r="O114" s="504"/>
      <c r="P114" s="504"/>
      <c r="Q114" s="504"/>
      <c r="R114" s="128"/>
    </row>
    <row r="115" spans="2:18" s="17" customFormat="1">
      <c r="B115" s="243" t="s">
        <v>8</v>
      </c>
      <c r="C115" s="1044" t="s">
        <v>4</v>
      </c>
      <c r="D115" s="1044"/>
      <c r="E115" s="1044"/>
      <c r="F115" s="1044"/>
      <c r="G115" s="1044"/>
      <c r="H115" s="1044"/>
      <c r="I115" s="1044"/>
      <c r="J115" s="411">
        <v>9.6582000000000001E-2</v>
      </c>
      <c r="K115" s="355">
        <f>TRUNC(J115*(K114+K139),2)</f>
        <v>415.17</v>
      </c>
      <c r="M115" s="503"/>
      <c r="N115" s="504"/>
      <c r="O115" s="504"/>
      <c r="P115" s="504"/>
      <c r="Q115" s="504"/>
    </row>
    <row r="116" spans="2:18" s="17" customFormat="1">
      <c r="B116" s="534" t="s">
        <v>9</v>
      </c>
      <c r="C116" s="1086" t="s">
        <v>28</v>
      </c>
      <c r="D116" s="1087"/>
      <c r="E116" s="1087"/>
      <c r="F116" s="1087"/>
      <c r="G116" s="1087"/>
      <c r="H116" s="1087"/>
      <c r="I116" s="1087"/>
      <c r="J116" s="1088"/>
      <c r="K116" s="1089"/>
      <c r="L116" s="25"/>
      <c r="M116" s="503"/>
      <c r="N116" s="504"/>
      <c r="O116" s="504"/>
      <c r="P116" s="504"/>
      <c r="Q116" s="504"/>
    </row>
    <row r="117" spans="2:18" s="17" customFormat="1">
      <c r="B117" s="243" t="s">
        <v>29</v>
      </c>
      <c r="C117" s="1044" t="s">
        <v>82</v>
      </c>
      <c r="D117" s="1044"/>
      <c r="E117" s="1044"/>
      <c r="F117" s="1044"/>
      <c r="G117" s="1044"/>
      <c r="H117" s="1044"/>
      <c r="I117" s="1044"/>
      <c r="J117" s="245">
        <v>6.4999999999999997E-3</v>
      </c>
      <c r="K117" s="426">
        <f>TRUNC(J117*K128,2)</f>
        <v>33.54</v>
      </c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77</v>
      </c>
      <c r="D118" s="1044"/>
      <c r="E118" s="1044"/>
      <c r="F118" s="1044"/>
      <c r="G118" s="1044"/>
      <c r="H118" s="1044"/>
      <c r="I118" s="1044"/>
      <c r="J118" s="245">
        <v>0.03</v>
      </c>
      <c r="K118" s="426">
        <f>TRUNC(J118*K128,2)</f>
        <v>154.80000000000001</v>
      </c>
      <c r="L118" s="25">
        <f>K143</f>
        <v>10320.439770114943</v>
      </c>
      <c r="M118" s="503"/>
      <c r="N118" s="504"/>
      <c r="O118" s="504"/>
      <c r="P118" s="504"/>
      <c r="Q118" s="504"/>
    </row>
    <row r="119" spans="2:18" s="17" customFormat="1">
      <c r="B119" s="243" t="s">
        <v>30</v>
      </c>
      <c r="C119" s="1044" t="s">
        <v>80</v>
      </c>
      <c r="D119" s="1044"/>
      <c r="E119" s="1044"/>
      <c r="F119" s="1044"/>
      <c r="G119" s="1044"/>
      <c r="H119" s="1044"/>
      <c r="I119" s="1044"/>
      <c r="J119" s="247" t="s">
        <v>79</v>
      </c>
      <c r="K119" s="426">
        <v>0</v>
      </c>
      <c r="M119" s="503"/>
      <c r="N119" s="504"/>
      <c r="O119" s="504"/>
      <c r="P119" s="504"/>
      <c r="Q119" s="504"/>
    </row>
    <row r="120" spans="2:18" s="17" customFormat="1">
      <c r="B120" s="243" t="s">
        <v>31</v>
      </c>
      <c r="C120" s="1044" t="s">
        <v>78</v>
      </c>
      <c r="D120" s="1044"/>
      <c r="E120" s="1044"/>
      <c r="F120" s="1044"/>
      <c r="G120" s="1044"/>
      <c r="H120" s="1044"/>
      <c r="I120" s="1044"/>
      <c r="J120" s="245">
        <v>0.05</v>
      </c>
      <c r="K120" s="426">
        <f>TRUNC(J120*K128,2)</f>
        <v>258.01</v>
      </c>
      <c r="M120" s="503"/>
      <c r="N120" s="504"/>
      <c r="O120" s="504"/>
      <c r="P120" s="504"/>
      <c r="Q120" s="504"/>
    </row>
    <row r="121" spans="2:18" s="17" customFormat="1">
      <c r="B121" s="1080" t="s">
        <v>72</v>
      </c>
      <c r="C121" s="1080"/>
      <c r="D121" s="1080"/>
      <c r="E121" s="1080"/>
      <c r="F121" s="1080"/>
      <c r="G121" s="1080"/>
      <c r="H121" s="1080"/>
      <c r="I121" s="1080"/>
      <c r="J121" s="420">
        <f>SUM(J114:J120)</f>
        <v>0.283082</v>
      </c>
      <c r="K121" s="523">
        <f>TRUNC(SUM(K114:K120),2)</f>
        <v>1252.31</v>
      </c>
      <c r="M121" s="503"/>
      <c r="N121" s="504"/>
      <c r="O121" s="504"/>
      <c r="P121" s="504"/>
      <c r="Q121" s="504"/>
      <c r="R121" s="127"/>
    </row>
    <row r="122" spans="2:18" s="17" customFormat="1">
      <c r="B122" s="291"/>
      <c r="C122" s="542"/>
      <c r="D122" s="1081"/>
      <c r="E122" s="1081"/>
      <c r="F122" s="1081"/>
      <c r="G122" s="1081"/>
      <c r="H122" s="1081"/>
      <c r="I122" s="1081"/>
      <c r="J122" s="1081"/>
      <c r="K122" s="1082"/>
      <c r="M122" s="503"/>
      <c r="N122" s="504"/>
      <c r="O122" s="504"/>
      <c r="P122" s="504"/>
      <c r="Q122" s="504"/>
    </row>
    <row r="123" spans="2:18" s="17" customFormat="1">
      <c r="B123" s="300" t="s">
        <v>32</v>
      </c>
      <c r="C123" s="301"/>
      <c r="D123" s="1071" t="s">
        <v>33</v>
      </c>
      <c r="E123" s="1071"/>
      <c r="F123" s="1071"/>
      <c r="G123" s="1071"/>
      <c r="H123" s="1071"/>
      <c r="I123" s="1072"/>
      <c r="J123" s="1073">
        <f>TRUNC(J117+J118+J120,4)</f>
        <v>8.6499999999999994E-2</v>
      </c>
      <c r="K123" s="1074"/>
      <c r="M123" s="503"/>
      <c r="N123" s="504"/>
      <c r="O123" s="504"/>
      <c r="P123" s="504"/>
      <c r="Q123" s="504"/>
    </row>
    <row r="124" spans="2:18" s="17" customFormat="1">
      <c r="B124" s="233"/>
      <c r="C124" s="302"/>
      <c r="D124" s="1077">
        <v>100</v>
      </c>
      <c r="E124" s="1078"/>
      <c r="F124" s="1078"/>
      <c r="G124" s="1078"/>
      <c r="H124" s="1078"/>
      <c r="I124" s="1079"/>
      <c r="J124" s="1075"/>
      <c r="K124" s="1076"/>
      <c r="M124" s="503"/>
      <c r="N124" s="504"/>
      <c r="O124" s="504"/>
      <c r="P124" s="504"/>
      <c r="Q124" s="504"/>
    </row>
    <row r="125" spans="2:18" s="17" customFormat="1">
      <c r="B125" s="311"/>
      <c r="C125" s="310"/>
      <c r="D125" s="535"/>
      <c r="E125" s="535"/>
      <c r="F125" s="535"/>
      <c r="G125" s="535"/>
      <c r="H125" s="535"/>
      <c r="I125" s="536"/>
      <c r="J125" s="537"/>
      <c r="K125" s="413"/>
      <c r="M125" s="503"/>
      <c r="N125" s="504"/>
      <c r="O125" s="504"/>
      <c r="P125" s="504"/>
      <c r="Q125" s="504"/>
    </row>
    <row r="126" spans="2:18" s="17" customFormat="1">
      <c r="B126" s="233" t="s">
        <v>34</v>
      </c>
      <c r="C126" s="302"/>
      <c r="D126" s="1078" t="s">
        <v>73</v>
      </c>
      <c r="E126" s="1078"/>
      <c r="F126" s="1078"/>
      <c r="G126" s="1078"/>
      <c r="H126" s="1078"/>
      <c r="I126" s="1079"/>
      <c r="J126" s="538"/>
      <c r="K126" s="429">
        <f>TRUNC(K139+K114+K115,2)</f>
        <v>4713.87</v>
      </c>
      <c r="M126" s="503"/>
      <c r="N126" s="504"/>
      <c r="O126" s="504"/>
      <c r="P126" s="504"/>
      <c r="Q126" s="504"/>
    </row>
    <row r="127" spans="2:18" s="17" customFormat="1">
      <c r="B127" s="300"/>
      <c r="C127" s="301"/>
      <c r="D127" s="535"/>
      <c r="E127" s="535"/>
      <c r="F127" s="535"/>
      <c r="G127" s="535"/>
      <c r="H127" s="535"/>
      <c r="I127" s="536"/>
      <c r="J127" s="537"/>
      <c r="K127" s="414"/>
      <c r="M127" s="503"/>
      <c r="N127" s="504"/>
      <c r="O127" s="504"/>
      <c r="P127" s="504"/>
      <c r="Q127" s="504"/>
    </row>
    <row r="128" spans="2:18" s="17" customFormat="1">
      <c r="B128" s="233" t="s">
        <v>35</v>
      </c>
      <c r="C128" s="302"/>
      <c r="D128" s="1078" t="s">
        <v>36</v>
      </c>
      <c r="E128" s="1078"/>
      <c r="F128" s="1078"/>
      <c r="G128" s="1078"/>
      <c r="H128" s="1078"/>
      <c r="I128" s="1079"/>
      <c r="J128" s="538"/>
      <c r="K128" s="429">
        <f>K126/(1-J123)</f>
        <v>5160.2298850574716</v>
      </c>
      <c r="M128" s="503"/>
      <c r="N128" s="504"/>
      <c r="O128" s="504"/>
      <c r="P128" s="504"/>
      <c r="Q128" s="504"/>
    </row>
    <row r="129" spans="2:17" s="17" customFormat="1">
      <c r="B129" s="546"/>
      <c r="C129" s="301"/>
      <c r="D129" s="535"/>
      <c r="E129" s="535"/>
      <c r="F129" s="535"/>
      <c r="G129" s="535"/>
      <c r="H129" s="535"/>
      <c r="I129" s="536"/>
      <c r="J129" s="537"/>
      <c r="K129" s="414"/>
      <c r="M129" s="503"/>
      <c r="N129" s="504"/>
      <c r="O129" s="504"/>
      <c r="P129" s="504"/>
      <c r="Q129" s="504"/>
    </row>
    <row r="130" spans="2:17" s="17" customFormat="1">
      <c r="B130" s="291"/>
      <c r="C130" s="302"/>
      <c r="D130" s="1078" t="s">
        <v>37</v>
      </c>
      <c r="E130" s="1078"/>
      <c r="F130" s="1078"/>
      <c r="G130" s="1078"/>
      <c r="H130" s="1078"/>
      <c r="I130" s="1079"/>
      <c r="J130" s="538"/>
      <c r="K130" s="429">
        <f>TRUNC(K128-K126,2)</f>
        <v>446.35</v>
      </c>
      <c r="M130" s="503"/>
      <c r="N130" s="504"/>
      <c r="O130" s="504"/>
      <c r="P130" s="504"/>
      <c r="Q130" s="504"/>
    </row>
    <row r="131" spans="2:17" s="17" customFormat="1">
      <c r="B131" s="291"/>
      <c r="C131" s="542"/>
      <c r="D131" s="542"/>
      <c r="E131" s="542"/>
      <c r="F131" s="542"/>
      <c r="G131" s="542"/>
      <c r="H131" s="542"/>
      <c r="I131" s="542"/>
      <c r="J131" s="542"/>
      <c r="K131" s="295"/>
      <c r="M131" s="503"/>
      <c r="N131" s="504"/>
      <c r="O131" s="504"/>
      <c r="P131" s="504"/>
      <c r="Q131" s="504"/>
    </row>
    <row r="132" spans="2:17" s="17" customFormat="1">
      <c r="B132" s="1064" t="s">
        <v>83</v>
      </c>
      <c r="C132" s="1064"/>
      <c r="D132" s="1064"/>
      <c r="E132" s="1064"/>
      <c r="F132" s="1064"/>
      <c r="G132" s="1064"/>
      <c r="H132" s="1064"/>
      <c r="I132" s="1064"/>
      <c r="J132" s="1064"/>
      <c r="K132" s="1064"/>
      <c r="M132" s="503"/>
      <c r="N132" s="504"/>
      <c r="O132" s="504"/>
      <c r="P132" s="504"/>
      <c r="Q132" s="504"/>
    </row>
    <row r="133" spans="2:17" s="17" customFormat="1">
      <c r="B133" s="1065" t="s">
        <v>22</v>
      </c>
      <c r="C133" s="1065"/>
      <c r="D133" s="1065"/>
      <c r="E133" s="1065"/>
      <c r="F133" s="1065"/>
      <c r="G133" s="1065"/>
      <c r="H133" s="1065"/>
      <c r="I133" s="1065"/>
      <c r="J133" s="1065"/>
      <c r="K133" s="534" t="s">
        <v>1</v>
      </c>
      <c r="M133" s="503"/>
      <c r="N133" s="504"/>
      <c r="O133" s="504"/>
      <c r="P133" s="504"/>
      <c r="Q133" s="504"/>
    </row>
    <row r="134" spans="2:17" s="17" customFormat="1">
      <c r="B134" s="238" t="s">
        <v>7</v>
      </c>
      <c r="C134" s="1044" t="str">
        <f>B31</f>
        <v>MÓDULO 1 - COMPOSIÇÃO DA REMUNERAÇÃO</v>
      </c>
      <c r="D134" s="1044"/>
      <c r="E134" s="1044"/>
      <c r="F134" s="1044"/>
      <c r="G134" s="1044"/>
      <c r="H134" s="1044"/>
      <c r="I134" s="1044"/>
      <c r="J134" s="1044"/>
      <c r="K134" s="355">
        <f>K42</f>
        <v>1784.7179999999998</v>
      </c>
      <c r="M134" s="595">
        <v>1784.72</v>
      </c>
      <c r="N134" s="504"/>
      <c r="O134" s="504"/>
      <c r="P134" s="504"/>
      <c r="Q134" s="504"/>
    </row>
    <row r="135" spans="2:17" s="17" customFormat="1">
      <c r="B135" s="240" t="s">
        <v>8</v>
      </c>
      <c r="C135" s="1044" t="str">
        <f>B45</f>
        <v>MÓDULO 2 – ENCARGOS E BENEFÍCIOS ANUAIS, MENSAIS E DIÁRIOS</v>
      </c>
      <c r="D135" s="1044"/>
      <c r="E135" s="1044"/>
      <c r="F135" s="1044"/>
      <c r="G135" s="1044"/>
      <c r="H135" s="1044"/>
      <c r="I135" s="1044"/>
      <c r="J135" s="1044"/>
      <c r="K135" s="426">
        <f>K74</f>
        <v>1486.18</v>
      </c>
      <c r="M135" s="595">
        <v>1486.18</v>
      </c>
      <c r="N135" s="504"/>
      <c r="O135" s="504"/>
      <c r="P135" s="504"/>
      <c r="Q135" s="504"/>
    </row>
    <row r="136" spans="2:17" s="17" customFormat="1">
      <c r="B136" s="240" t="s">
        <v>9</v>
      </c>
      <c r="C136" s="1044" t="str">
        <f>B75</f>
        <v>MÓDULO 3 – PROVISÃO PARA RESCISÃO</v>
      </c>
      <c r="D136" s="1044"/>
      <c r="E136" s="1044"/>
      <c r="F136" s="1044"/>
      <c r="G136" s="1044"/>
      <c r="H136" s="1044"/>
      <c r="I136" s="1044"/>
      <c r="J136" s="1044"/>
      <c r="K136" s="426">
        <f>K83</f>
        <v>127.01</v>
      </c>
      <c r="M136" s="595">
        <v>127.01</v>
      </c>
      <c r="N136" s="504"/>
      <c r="O136" s="504"/>
      <c r="P136" s="504"/>
      <c r="Q136" s="504"/>
    </row>
    <row r="137" spans="2:17" s="17" customFormat="1">
      <c r="B137" s="238" t="s">
        <v>10</v>
      </c>
      <c r="C137" s="1044" t="str">
        <f>B85</f>
        <v>MÓDULO 4 – CUSTO DE REPOSIÇÃO DO PROFISSIONAL AUSENTE</v>
      </c>
      <c r="D137" s="1044"/>
      <c r="E137" s="1044"/>
      <c r="F137" s="1044"/>
      <c r="G137" s="1044"/>
      <c r="H137" s="1044"/>
      <c r="I137" s="1044"/>
      <c r="J137" s="1044"/>
      <c r="K137" s="426">
        <f>K103</f>
        <v>366.79</v>
      </c>
      <c r="M137" s="595">
        <v>366.79</v>
      </c>
      <c r="N137" s="504"/>
      <c r="O137" s="504"/>
      <c r="P137" s="504"/>
      <c r="Q137" s="504"/>
    </row>
    <row r="138" spans="2:17" s="17" customFormat="1" ht="15.75" thickBot="1">
      <c r="B138" s="424" t="s">
        <v>11</v>
      </c>
      <c r="C138" s="1061" t="str">
        <f>B106</f>
        <v>MÓDULO 5 – INSUMOS DIVERSOS</v>
      </c>
      <c r="D138" s="1061"/>
      <c r="E138" s="1061"/>
      <c r="F138" s="1061"/>
      <c r="G138" s="1061"/>
      <c r="H138" s="1061"/>
      <c r="I138" s="1061"/>
      <c r="J138" s="1061"/>
      <c r="K138" s="427">
        <f>K111</f>
        <v>143.21</v>
      </c>
      <c r="M138" s="595">
        <v>143.21</v>
      </c>
      <c r="N138" s="504"/>
      <c r="O138" s="504"/>
      <c r="P138" s="504"/>
      <c r="Q138" s="504"/>
    </row>
    <row r="139" spans="2:17" s="17" customFormat="1">
      <c r="B139" s="1062" t="s">
        <v>74</v>
      </c>
      <c r="C139" s="1063"/>
      <c r="D139" s="1063"/>
      <c r="E139" s="1063"/>
      <c r="F139" s="1063"/>
      <c r="G139" s="1063"/>
      <c r="H139" s="1063"/>
      <c r="I139" s="1063"/>
      <c r="J139" s="1063"/>
      <c r="K139" s="430">
        <f>TRUNC(SUM(K134:K138),2)+0.01</f>
        <v>3907.9100000000003</v>
      </c>
      <c r="M139" s="595">
        <f>M134+M135+M136+M137+M138</f>
        <v>3907.9100000000003</v>
      </c>
      <c r="N139" s="504"/>
      <c r="O139" s="504"/>
      <c r="P139" s="504"/>
      <c r="Q139" s="504"/>
    </row>
    <row r="140" spans="2:17" s="17" customFormat="1">
      <c r="B140" s="425" t="s">
        <v>13</v>
      </c>
      <c r="C140" s="1061" t="str">
        <f>B112</f>
        <v>MÓDULO 6 – CUSTOS INDIRETOS, TRIBUTOS E LUCRO</v>
      </c>
      <c r="D140" s="1061"/>
      <c r="E140" s="1061"/>
      <c r="F140" s="1061"/>
      <c r="G140" s="1061"/>
      <c r="H140" s="1061"/>
      <c r="I140" s="1061"/>
      <c r="J140" s="1061"/>
      <c r="K140" s="428">
        <f>K121</f>
        <v>1252.31</v>
      </c>
      <c r="M140" s="595">
        <v>1252.31</v>
      </c>
      <c r="N140" s="504"/>
      <c r="O140" s="504"/>
      <c r="P140" s="504"/>
      <c r="Q140" s="504"/>
    </row>
    <row r="141" spans="2:17" s="17" customFormat="1">
      <c r="B141" s="1064" t="s">
        <v>75</v>
      </c>
      <c r="C141" s="1064"/>
      <c r="D141" s="1064"/>
      <c r="E141" s="1064"/>
      <c r="F141" s="1064"/>
      <c r="G141" s="1064"/>
      <c r="H141" s="1064"/>
      <c r="I141" s="1064"/>
      <c r="J141" s="1064"/>
      <c r="K141" s="347">
        <f>(K139+K115+K114)/(1-J123)-0.01</f>
        <v>5160.2198850574714</v>
      </c>
      <c r="L141" s="16"/>
      <c r="M141" s="595">
        <f>M139+M140</f>
        <v>5160.22</v>
      </c>
      <c r="N141" s="504"/>
      <c r="O141" s="504"/>
      <c r="P141" s="504"/>
      <c r="Q141" s="504"/>
    </row>
    <row r="142" spans="2:17" s="17" customFormat="1">
      <c r="B142" s="1064" t="s">
        <v>100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v>2</v>
      </c>
      <c r="M142" s="503">
        <v>2</v>
      </c>
      <c r="N142" s="504"/>
      <c r="O142" s="504"/>
      <c r="P142" s="504"/>
      <c r="Q142" s="504"/>
    </row>
    <row r="143" spans="2:17" s="17" customFormat="1">
      <c r="B143" s="1064" t="s">
        <v>143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f>K141*K142</f>
        <v>10320.439770114943</v>
      </c>
      <c r="M143" s="595">
        <f>M141*M142</f>
        <v>10320.44</v>
      </c>
      <c r="N143" s="504"/>
      <c r="O143" s="504"/>
      <c r="P143" s="504"/>
      <c r="Q143" s="504"/>
    </row>
    <row r="144" spans="2:17" s="29" customFormat="1">
      <c r="B144" s="1064" t="s">
        <v>122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v>1</v>
      </c>
      <c r="M144" s="503">
        <v>1</v>
      </c>
      <c r="N144" s="504"/>
      <c r="O144" s="504"/>
      <c r="P144" s="504"/>
      <c r="Q144" s="504"/>
    </row>
    <row r="145" spans="2:17" s="29" customFormat="1" ht="15" customHeight="1">
      <c r="B145" s="1064" t="s">
        <v>144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f>K143*K144</f>
        <v>10320.439770114943</v>
      </c>
      <c r="M145" s="595">
        <f>M143*M144</f>
        <v>10320.44</v>
      </c>
      <c r="N145" s="504"/>
      <c r="O145" s="504"/>
      <c r="P145" s="504"/>
      <c r="Q145" s="504"/>
    </row>
    <row r="146" spans="2:17" s="29" customFormat="1">
      <c r="B146" s="1064" t="s">
        <v>145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K145*12</f>
        <v>123845.27724137931</v>
      </c>
      <c r="M146" s="503">
        <v>12</v>
      </c>
      <c r="N146" s="504"/>
      <c r="O146" s="504"/>
      <c r="P146" s="504"/>
      <c r="Q146" s="504"/>
    </row>
    <row r="147" spans="2:17" s="29" customFormat="1">
      <c r="B147" s="234"/>
      <c r="C147" s="421"/>
      <c r="D147" s="421"/>
      <c r="E147" s="421"/>
      <c r="F147" s="421"/>
      <c r="G147" s="421"/>
      <c r="H147" s="421"/>
      <c r="I147" s="421"/>
      <c r="J147" s="421"/>
      <c r="K147" s="421"/>
      <c r="M147" s="595">
        <f>M145*M146</f>
        <v>123845.28</v>
      </c>
      <c r="N147" s="504"/>
      <c r="O147" s="504"/>
      <c r="P147" s="504"/>
      <c r="Q147" s="504"/>
    </row>
    <row r="148" spans="2:17" s="423" customFormat="1" ht="15.75">
      <c r="B148" s="422"/>
      <c r="C148" s="422"/>
      <c r="D148" s="422"/>
      <c r="E148" s="422"/>
      <c r="F148" s="422"/>
      <c r="G148" s="422"/>
      <c r="H148" s="533"/>
      <c r="I148" s="533"/>
      <c r="J148" s="533"/>
      <c r="K148" s="533"/>
      <c r="M148" s="503"/>
      <c r="N148" s="504"/>
      <c r="O148" s="504"/>
      <c r="P148" s="504"/>
      <c r="Q148" s="504"/>
    </row>
    <row r="149" spans="2:17" s="423" customFormat="1" ht="15.75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ht="15.75">
      <c r="H150" s="533"/>
      <c r="I150" s="533"/>
      <c r="J150" s="533"/>
      <c r="K150" s="533"/>
    </row>
    <row r="151" spans="2:17" ht="15.75">
      <c r="H151" s="1059" t="s">
        <v>241</v>
      </c>
      <c r="I151" s="1059"/>
      <c r="J151" s="1059"/>
      <c r="K151" s="1059"/>
    </row>
    <row r="152" spans="2:17" ht="15.75">
      <c r="H152" s="1060" t="s">
        <v>242</v>
      </c>
      <c r="I152" s="1060"/>
      <c r="J152" s="1060"/>
      <c r="K152" s="1060"/>
    </row>
  </sheetData>
  <mergeCells count="162">
    <mergeCell ref="H151:K151"/>
    <mergeCell ref="H152:K152"/>
    <mergeCell ref="B141:J141"/>
    <mergeCell ref="B142:J142"/>
    <mergeCell ref="B143:J143"/>
    <mergeCell ref="B144:J144"/>
    <mergeCell ref="B145:J145"/>
    <mergeCell ref="B146:J146"/>
    <mergeCell ref="C135:J135"/>
    <mergeCell ref="C136:J136"/>
    <mergeCell ref="C137:J137"/>
    <mergeCell ref="C138:J138"/>
    <mergeCell ref="B139:J139"/>
    <mergeCell ref="C140:J140"/>
    <mergeCell ref="D126:I126"/>
    <mergeCell ref="D128:I128"/>
    <mergeCell ref="D130:I130"/>
    <mergeCell ref="B132:K132"/>
    <mergeCell ref="B133:J133"/>
    <mergeCell ref="C134:J134"/>
    <mergeCell ref="C119:I119"/>
    <mergeCell ref="C120:I120"/>
    <mergeCell ref="B121:I121"/>
    <mergeCell ref="D122:K122"/>
    <mergeCell ref="D123:I123"/>
    <mergeCell ref="J123:K124"/>
    <mergeCell ref="D124:I124"/>
    <mergeCell ref="C113:I113"/>
    <mergeCell ref="C114:I114"/>
    <mergeCell ref="C115:I115"/>
    <mergeCell ref="C116:K116"/>
    <mergeCell ref="C117:I117"/>
    <mergeCell ref="C118:I118"/>
    <mergeCell ref="C107:J107"/>
    <mergeCell ref="C108:I108"/>
    <mergeCell ref="C109:I109"/>
    <mergeCell ref="C110:I110"/>
    <mergeCell ref="B111:I111"/>
    <mergeCell ref="B112:K112"/>
    <mergeCell ref="C101:J101"/>
    <mergeCell ref="C102:J102"/>
    <mergeCell ref="B103:J103"/>
    <mergeCell ref="B104:I104"/>
    <mergeCell ref="B105:K105"/>
    <mergeCell ref="B106:K106"/>
    <mergeCell ref="B94:K94"/>
    <mergeCell ref="B95:J95"/>
    <mergeCell ref="C96:J96"/>
    <mergeCell ref="B97:J97"/>
    <mergeCell ref="B99:K99"/>
    <mergeCell ref="B100:J100"/>
    <mergeCell ref="C88:I88"/>
    <mergeCell ref="C89:I89"/>
    <mergeCell ref="C90:I90"/>
    <mergeCell ref="C91:I91"/>
    <mergeCell ref="C92:I92"/>
    <mergeCell ref="B93:I93"/>
    <mergeCell ref="C82:I82"/>
    <mergeCell ref="B83:I83"/>
    <mergeCell ref="C84:K84"/>
    <mergeCell ref="B85:K85"/>
    <mergeCell ref="B86:I86"/>
    <mergeCell ref="C87:I87"/>
    <mergeCell ref="C76:I76"/>
    <mergeCell ref="C77:I77"/>
    <mergeCell ref="C78:I78"/>
    <mergeCell ref="C79:I79"/>
    <mergeCell ref="C80:I80"/>
    <mergeCell ref="C81:I81"/>
    <mergeCell ref="C71:J71"/>
    <mergeCell ref="C72:J72"/>
    <mergeCell ref="C73:J73"/>
    <mergeCell ref="C74:J74"/>
    <mergeCell ref="B75:K75"/>
    <mergeCell ref="M75:N75"/>
    <mergeCell ref="B67:J67"/>
    <mergeCell ref="C68:K68"/>
    <mergeCell ref="M68:N68"/>
    <mergeCell ref="B69:K69"/>
    <mergeCell ref="B70:J70"/>
    <mergeCell ref="M70:N70"/>
    <mergeCell ref="C61:K61"/>
    <mergeCell ref="M61:N61"/>
    <mergeCell ref="B62:J62"/>
    <mergeCell ref="C63:J63"/>
    <mergeCell ref="C64:J64"/>
    <mergeCell ref="C65:J65"/>
    <mergeCell ref="C56:I56"/>
    <mergeCell ref="C57:I57"/>
    <mergeCell ref="C58:I58"/>
    <mergeCell ref="C59:I59"/>
    <mergeCell ref="M59:N59"/>
    <mergeCell ref="B60:I60"/>
    <mergeCell ref="B51:I51"/>
    <mergeCell ref="C52:I52"/>
    <mergeCell ref="M52:N53"/>
    <mergeCell ref="C53:I53"/>
    <mergeCell ref="C54:I54"/>
    <mergeCell ref="C55:I55"/>
    <mergeCell ref="B45:K45"/>
    <mergeCell ref="B46:I46"/>
    <mergeCell ref="C47:I47"/>
    <mergeCell ref="C48:I48"/>
    <mergeCell ref="B49:I49"/>
    <mergeCell ref="B50:K50"/>
    <mergeCell ref="D39:I39"/>
    <mergeCell ref="C40:I40"/>
    <mergeCell ref="B41:J41"/>
    <mergeCell ref="B42:J42"/>
    <mergeCell ref="N42:Q42"/>
    <mergeCell ref="N43:Q43"/>
    <mergeCell ref="C33:I33"/>
    <mergeCell ref="C34:I34"/>
    <mergeCell ref="C35:I35"/>
    <mergeCell ref="C36:I36"/>
    <mergeCell ref="D37:I37"/>
    <mergeCell ref="D38:I38"/>
    <mergeCell ref="C28:J28"/>
    <mergeCell ref="C29:J29"/>
    <mergeCell ref="C30:K30"/>
    <mergeCell ref="B31:K31"/>
    <mergeCell ref="M31:P31"/>
    <mergeCell ref="C32:I32"/>
    <mergeCell ref="M23:P23"/>
    <mergeCell ref="B24:K24"/>
    <mergeCell ref="C25:J25"/>
    <mergeCell ref="M25:Q25"/>
    <mergeCell ref="C26:J26"/>
    <mergeCell ref="C27:J27"/>
    <mergeCell ref="B17:K17"/>
    <mergeCell ref="B19:G19"/>
    <mergeCell ref="I19:K19"/>
    <mergeCell ref="B20:G20"/>
    <mergeCell ref="I20:K20"/>
    <mergeCell ref="B22:K22"/>
    <mergeCell ref="C13:G13"/>
    <mergeCell ref="H13:K13"/>
    <mergeCell ref="M13:P13"/>
    <mergeCell ref="C14:G14"/>
    <mergeCell ref="H14:K14"/>
    <mergeCell ref="C15:G15"/>
    <mergeCell ref="H15:K15"/>
    <mergeCell ref="M15:Q15"/>
    <mergeCell ref="C8:G8"/>
    <mergeCell ref="H8:K8"/>
    <mergeCell ref="H9:K9"/>
    <mergeCell ref="B10:K10"/>
    <mergeCell ref="B11:K11"/>
    <mergeCell ref="C12:G12"/>
    <mergeCell ref="H12:K12"/>
    <mergeCell ref="B4:K4"/>
    <mergeCell ref="M4:Q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4" orientation="portrait" horizontalDpi="360" verticalDpi="360" r:id="rId1"/>
  <headerFooter>
    <oddHeader>&amp;L&amp;G&amp;R&amp;G</oddHeader>
  </headerFooter>
  <rowBreaks count="1" manualBreakCount="1">
    <brk id="83" min="1" max="1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B1:T156"/>
  <sheetViews>
    <sheetView view="pageBreakPreview" topLeftCell="C77" zoomScale="85" zoomScaleNormal="100" zoomScaleSheetLayoutView="85" workbookViewId="0">
      <selection activeCell="N144" sqref="N144"/>
    </sheetView>
  </sheetViews>
  <sheetFormatPr defaultRowHeight="15"/>
  <cols>
    <col min="1" max="1" width="6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25.7109375" style="236" customWidth="1"/>
    <col min="8" max="8" width="19.140625" style="236" customWidth="1"/>
    <col min="9" max="9" width="20.28515625" style="236" customWidth="1"/>
    <col min="10" max="10" width="10.140625" style="236" customWidth="1"/>
    <col min="11" max="11" width="17.5703125" style="236" customWidth="1"/>
    <col min="12" max="12" width="9.85546875" style="2" bestFit="1" customWidth="1"/>
    <col min="13" max="13" width="7.28515625" style="2" customWidth="1"/>
    <col min="14" max="14" width="53.7109375" style="503" customWidth="1"/>
    <col min="15" max="15" width="9.28515625" style="504" bestFit="1" customWidth="1"/>
    <col min="16" max="16" width="18" style="504" bestFit="1" customWidth="1"/>
    <col min="17" max="17" width="19.140625" style="504" customWidth="1"/>
    <col min="18" max="18" width="18.5703125" style="504" customWidth="1"/>
    <col min="19" max="19" width="9.5703125" style="2" bestFit="1" customWidth="1"/>
    <col min="20" max="16384" width="9.140625" style="2"/>
  </cols>
  <sheetData>
    <row r="1" spans="2:18" s="6" customFormat="1" ht="15.75" customHeight="1">
      <c r="B1" s="1109" t="s">
        <v>296</v>
      </c>
      <c r="C1" s="1110"/>
      <c r="D1" s="1110"/>
      <c r="E1" s="1110"/>
      <c r="F1" s="1110"/>
      <c r="G1" s="1110"/>
      <c r="H1" s="1110"/>
      <c r="I1" s="1110"/>
      <c r="J1" s="1110"/>
      <c r="K1" s="1111"/>
      <c r="L1" s="5"/>
      <c r="M1" s="5"/>
      <c r="N1" s="1112" t="s">
        <v>296</v>
      </c>
      <c r="O1" s="1113"/>
      <c r="P1" s="1113"/>
      <c r="Q1" s="1113"/>
      <c r="R1" s="1114"/>
    </row>
    <row r="2" spans="2:18" s="6" customFormat="1" ht="12.75">
      <c r="B2" s="1115" t="s">
        <v>139</v>
      </c>
      <c r="C2" s="1116"/>
      <c r="D2" s="1116"/>
      <c r="E2" s="1116"/>
      <c r="F2" s="1116"/>
      <c r="G2" s="1116"/>
      <c r="H2" s="1116"/>
      <c r="I2" s="1116"/>
      <c r="J2" s="1116"/>
      <c r="K2" s="1117"/>
      <c r="L2" s="5"/>
      <c r="M2" s="5"/>
      <c r="N2" s="1118" t="s">
        <v>139</v>
      </c>
      <c r="O2" s="1119"/>
      <c r="P2" s="1119"/>
      <c r="Q2" s="1119"/>
      <c r="R2" s="1120"/>
    </row>
    <row r="3" spans="2:18" s="6" customFormat="1" ht="16.5" customHeight="1">
      <c r="B3" s="995"/>
      <c r="C3" s="996"/>
      <c r="D3" s="996"/>
      <c r="E3" s="996"/>
      <c r="F3" s="996"/>
      <c r="G3" s="996"/>
      <c r="H3" s="996"/>
      <c r="I3" s="996"/>
      <c r="J3" s="342" t="s">
        <v>127</v>
      </c>
      <c r="K3" s="343" t="s">
        <v>295</v>
      </c>
      <c r="L3" s="5"/>
      <c r="M3" s="5"/>
      <c r="N3" s="1118"/>
      <c r="O3" s="1119"/>
      <c r="P3" s="1119"/>
      <c r="Q3" s="1119"/>
      <c r="R3" s="1120"/>
    </row>
    <row r="4" spans="2:18" s="6" customFormat="1" ht="12.75">
      <c r="B4" s="1135" t="s">
        <v>23</v>
      </c>
      <c r="C4" s="1136"/>
      <c r="D4" s="1136"/>
      <c r="E4" s="1136"/>
      <c r="F4" s="1136"/>
      <c r="G4" s="1136"/>
      <c r="H4" s="1136"/>
      <c r="I4" s="1136"/>
      <c r="J4" s="1136"/>
      <c r="K4" s="1137"/>
      <c r="L4" s="5"/>
      <c r="M4" s="5"/>
      <c r="N4" s="331"/>
      <c r="O4" s="508"/>
      <c r="P4" s="509"/>
      <c r="Q4" s="508"/>
      <c r="R4" s="332"/>
    </row>
    <row r="5" spans="2:18" s="6" customFormat="1" ht="12.75">
      <c r="B5" s="995" t="s">
        <v>223</v>
      </c>
      <c r="C5" s="996"/>
      <c r="D5" s="996"/>
      <c r="E5" s="996"/>
      <c r="F5" s="996"/>
      <c r="G5" s="996"/>
      <c r="H5" s="996"/>
      <c r="I5" s="996"/>
      <c r="J5" s="996"/>
      <c r="K5" s="1138"/>
      <c r="L5" s="5"/>
      <c r="M5" s="5"/>
      <c r="N5" s="1096" t="s">
        <v>187</v>
      </c>
      <c r="O5" s="1097"/>
      <c r="P5" s="1097"/>
      <c r="Q5" s="1097"/>
      <c r="R5" s="1098"/>
    </row>
    <row r="6" spans="2:18" s="6" customFormat="1" ht="12.75">
      <c r="B6" s="486" t="s">
        <v>128</v>
      </c>
      <c r="C6" s="313" t="s">
        <v>129</v>
      </c>
      <c r="D6" s="314"/>
      <c r="E6" s="314"/>
      <c r="F6" s="314"/>
      <c r="G6" s="314"/>
      <c r="H6" s="1106" t="str">
        <f>K3</f>
        <v>31/03/2021 - 08:00H</v>
      </c>
      <c r="I6" s="1107"/>
      <c r="J6" s="1107"/>
      <c r="K6" s="1108"/>
      <c r="L6" s="5"/>
      <c r="M6" s="5"/>
      <c r="N6" s="319" t="s">
        <v>114</v>
      </c>
      <c r="O6" s="320" t="s">
        <v>115</v>
      </c>
      <c r="P6" s="320" t="s">
        <v>116</v>
      </c>
      <c r="Q6" s="320" t="s">
        <v>117</v>
      </c>
      <c r="R6" s="320" t="s">
        <v>97</v>
      </c>
    </row>
    <row r="7" spans="2:18" s="6" customFormat="1" ht="12.75">
      <c r="B7" s="486" t="s">
        <v>8</v>
      </c>
      <c r="C7" s="1001" t="s">
        <v>130</v>
      </c>
      <c r="D7" s="1002"/>
      <c r="E7" s="1002"/>
      <c r="F7" s="1002"/>
      <c r="G7" s="1003"/>
      <c r="H7" s="1106" t="s">
        <v>284</v>
      </c>
      <c r="I7" s="1107"/>
      <c r="J7" s="1107"/>
      <c r="K7" s="1108"/>
      <c r="L7" s="5"/>
      <c r="M7" s="5"/>
      <c r="N7" s="321" t="s">
        <v>118</v>
      </c>
      <c r="O7" s="322">
        <v>1</v>
      </c>
      <c r="P7" s="510">
        <v>47.34</v>
      </c>
      <c r="Q7" s="322">
        <v>6</v>
      </c>
      <c r="R7" s="510">
        <f>(O7*P7)/Q7</f>
        <v>7.8900000000000006</v>
      </c>
    </row>
    <row r="8" spans="2:18" s="6" customFormat="1" ht="16.5" customHeight="1">
      <c r="B8" s="486" t="s">
        <v>9</v>
      </c>
      <c r="C8" s="1001" t="s">
        <v>131</v>
      </c>
      <c r="D8" s="1002"/>
      <c r="E8" s="1002"/>
      <c r="F8" s="1002"/>
      <c r="G8" s="1003"/>
      <c r="H8" s="1121" t="s">
        <v>288</v>
      </c>
      <c r="I8" s="1122"/>
      <c r="J8" s="1122"/>
      <c r="K8" s="1123"/>
      <c r="L8" s="5"/>
      <c r="M8" s="5"/>
      <c r="N8" s="321" t="s">
        <v>162</v>
      </c>
      <c r="O8" s="322">
        <v>2</v>
      </c>
      <c r="P8" s="510">
        <v>50</v>
      </c>
      <c r="Q8" s="322">
        <v>6</v>
      </c>
      <c r="R8" s="510">
        <f>(O8*P8)/Q8</f>
        <v>16.666666666666668</v>
      </c>
    </row>
    <row r="9" spans="2:18" s="6" customFormat="1" ht="16.5" customHeight="1">
      <c r="B9" s="486" t="s">
        <v>10</v>
      </c>
      <c r="C9" s="313" t="s">
        <v>132</v>
      </c>
      <c r="D9" s="314"/>
      <c r="E9" s="314"/>
      <c r="F9" s="314"/>
      <c r="G9" s="314"/>
      <c r="H9" s="1121">
        <v>12</v>
      </c>
      <c r="I9" s="1122"/>
      <c r="J9" s="1122"/>
      <c r="K9" s="1123"/>
      <c r="L9" s="5"/>
      <c r="M9" s="5"/>
      <c r="N9" s="321" t="s">
        <v>185</v>
      </c>
      <c r="O9" s="322">
        <v>1</v>
      </c>
      <c r="P9" s="510">
        <v>150</v>
      </c>
      <c r="Q9" s="322">
        <v>6</v>
      </c>
      <c r="R9" s="510">
        <f>P9/Q9</f>
        <v>25</v>
      </c>
    </row>
    <row r="10" spans="2:18" s="6" customFormat="1" ht="16.5" customHeight="1">
      <c r="B10" s="1124" t="s">
        <v>133</v>
      </c>
      <c r="C10" s="1125"/>
      <c r="D10" s="1125"/>
      <c r="E10" s="1125"/>
      <c r="F10" s="1125"/>
      <c r="G10" s="1125"/>
      <c r="H10" s="1125"/>
      <c r="I10" s="1125"/>
      <c r="J10" s="1125"/>
      <c r="K10" s="1126"/>
      <c r="L10" s="5"/>
      <c r="M10" s="5"/>
      <c r="N10" s="321" t="s">
        <v>186</v>
      </c>
      <c r="O10" s="322">
        <v>1</v>
      </c>
      <c r="P10" s="510">
        <v>4.72</v>
      </c>
      <c r="Q10" s="322">
        <v>12</v>
      </c>
      <c r="R10" s="510">
        <f>P10/Q10</f>
        <v>0.39333333333333331</v>
      </c>
    </row>
    <row r="11" spans="2:18" s="6" customFormat="1" ht="12.75">
      <c r="B11" s="1127" t="s">
        <v>134</v>
      </c>
      <c r="C11" s="1128"/>
      <c r="D11" s="1128"/>
      <c r="E11" s="1128"/>
      <c r="F11" s="1128"/>
      <c r="G11" s="1128"/>
      <c r="H11" s="1128"/>
      <c r="I11" s="1128"/>
      <c r="J11" s="1128"/>
      <c r="K11" s="1129"/>
      <c r="L11" s="5"/>
      <c r="M11" s="5"/>
      <c r="N11" s="321" t="s">
        <v>119</v>
      </c>
      <c r="O11" s="322">
        <v>1</v>
      </c>
      <c r="P11" s="510">
        <v>10</v>
      </c>
      <c r="Q11" s="322">
        <v>12</v>
      </c>
      <c r="R11" s="510">
        <f t="shared" ref="R11:R12" si="0">(O11*P11)/Q11</f>
        <v>0.83333333333333337</v>
      </c>
    </row>
    <row r="12" spans="2:18" s="6" customFormat="1" ht="28.5" customHeight="1">
      <c r="B12" s="315">
        <v>1</v>
      </c>
      <c r="C12" s="1007" t="s">
        <v>25</v>
      </c>
      <c r="D12" s="1130"/>
      <c r="E12" s="1130"/>
      <c r="F12" s="1130"/>
      <c r="G12" s="1131"/>
      <c r="H12" s="1132" t="str">
        <f>B5</f>
        <v>VIGILANCIA ARMADA 12 HORAS DIURNAS 12X36 DE SEGUNDA FEIRA A DOMINGO</v>
      </c>
      <c r="I12" s="1133"/>
      <c r="J12" s="1133"/>
      <c r="K12" s="1134"/>
      <c r="L12" s="5"/>
      <c r="M12" s="5"/>
      <c r="N12" s="321" t="s">
        <v>124</v>
      </c>
      <c r="O12" s="322">
        <v>1</v>
      </c>
      <c r="P12" s="510">
        <v>50</v>
      </c>
      <c r="Q12" s="322">
        <v>6</v>
      </c>
      <c r="R12" s="510">
        <f t="shared" si="0"/>
        <v>8.3333333333333339</v>
      </c>
    </row>
    <row r="13" spans="2:18" s="6" customFormat="1" ht="12.75">
      <c r="B13" s="315">
        <v>2</v>
      </c>
      <c r="C13" s="1007" t="s">
        <v>135</v>
      </c>
      <c r="D13" s="1130"/>
      <c r="E13" s="1130"/>
      <c r="F13" s="1130"/>
      <c r="G13" s="1131"/>
      <c r="H13" s="1135" t="s">
        <v>136</v>
      </c>
      <c r="I13" s="1136"/>
      <c r="J13" s="1136"/>
      <c r="K13" s="1137"/>
      <c r="L13" s="5"/>
      <c r="M13" s="5"/>
      <c r="N13" s="321" t="s">
        <v>148</v>
      </c>
      <c r="O13" s="322">
        <v>2</v>
      </c>
      <c r="P13" s="510">
        <v>8</v>
      </c>
      <c r="Q13" s="322">
        <v>6</v>
      </c>
      <c r="R13" s="510">
        <f>(O13*P13)/Q13</f>
        <v>2.6666666666666665</v>
      </c>
    </row>
    <row r="14" spans="2:18" s="6" customFormat="1" ht="12.75">
      <c r="B14" s="315">
        <v>3</v>
      </c>
      <c r="C14" s="1007" t="s">
        <v>137</v>
      </c>
      <c r="D14" s="1130"/>
      <c r="E14" s="1130"/>
      <c r="F14" s="1130"/>
      <c r="G14" s="1131"/>
      <c r="H14" s="1154">
        <v>1532.24</v>
      </c>
      <c r="I14" s="1155"/>
      <c r="J14" s="1155"/>
      <c r="K14" s="1156"/>
      <c r="L14" s="5"/>
      <c r="M14" s="5"/>
      <c r="N14" s="321" t="s">
        <v>206</v>
      </c>
      <c r="O14" s="322">
        <v>1</v>
      </c>
      <c r="P14" s="510">
        <v>5</v>
      </c>
      <c r="Q14" s="322">
        <v>12</v>
      </c>
      <c r="R14" s="510">
        <f t="shared" ref="R14:R18" si="1">(O14*P14)/Q14</f>
        <v>0.41666666666666669</v>
      </c>
    </row>
    <row r="15" spans="2:18" s="6" customFormat="1" ht="12.75">
      <c r="B15" s="315">
        <v>4</v>
      </c>
      <c r="C15" s="1007" t="s">
        <v>138</v>
      </c>
      <c r="D15" s="1130"/>
      <c r="E15" s="1130"/>
      <c r="F15" s="1130"/>
      <c r="G15" s="1131"/>
      <c r="H15" s="1157">
        <v>43831</v>
      </c>
      <c r="I15" s="1158"/>
      <c r="J15" s="1158"/>
      <c r="K15" s="1159"/>
      <c r="L15" s="5"/>
      <c r="M15" s="5"/>
      <c r="N15" s="321" t="s">
        <v>189</v>
      </c>
      <c r="O15" s="322">
        <v>1</v>
      </c>
      <c r="P15" s="510">
        <v>20</v>
      </c>
      <c r="Q15" s="322">
        <v>12</v>
      </c>
      <c r="R15" s="510">
        <f t="shared" si="1"/>
        <v>1.6666666666666667</v>
      </c>
    </row>
    <row r="16" spans="2:18" s="17" customFormat="1" ht="12.75">
      <c r="B16" s="291"/>
      <c r="C16" s="487"/>
      <c r="D16" s="495"/>
      <c r="E16" s="495"/>
      <c r="F16" s="495"/>
      <c r="G16" s="495"/>
      <c r="H16" s="495"/>
      <c r="I16" s="495"/>
      <c r="J16" s="495"/>
      <c r="K16" s="488"/>
      <c r="N16" s="321" t="s">
        <v>207</v>
      </c>
      <c r="O16" s="322">
        <v>1</v>
      </c>
      <c r="P16" s="510">
        <v>40</v>
      </c>
      <c r="Q16" s="322">
        <v>12</v>
      </c>
      <c r="R16" s="510">
        <f t="shared" si="1"/>
        <v>3.3333333333333335</v>
      </c>
    </row>
    <row r="17" spans="2:18" s="17" customFormat="1" ht="12.75">
      <c r="B17" s="1139" t="s">
        <v>76</v>
      </c>
      <c r="C17" s="1140"/>
      <c r="D17" s="1140"/>
      <c r="E17" s="1140"/>
      <c r="F17" s="1140"/>
      <c r="G17" s="1140"/>
      <c r="H17" s="1140"/>
      <c r="I17" s="1140"/>
      <c r="J17" s="1140"/>
      <c r="K17" s="1141"/>
      <c r="N17" s="321" t="s">
        <v>208</v>
      </c>
      <c r="O17" s="322">
        <v>1</v>
      </c>
      <c r="P17" s="510">
        <v>7</v>
      </c>
      <c r="Q17" s="322">
        <v>12</v>
      </c>
      <c r="R17" s="510">
        <f t="shared" si="1"/>
        <v>0.58333333333333337</v>
      </c>
    </row>
    <row r="18" spans="2:18" s="17" customFormat="1" ht="12.75">
      <c r="B18" s="291"/>
      <c r="C18" s="487"/>
      <c r="D18" s="495"/>
      <c r="E18" s="495"/>
      <c r="F18" s="495"/>
      <c r="G18" s="495"/>
      <c r="H18" s="495"/>
      <c r="I18" s="495"/>
      <c r="J18" s="487"/>
      <c r="K18" s="488"/>
      <c r="N18" s="321" t="s">
        <v>209</v>
      </c>
      <c r="O18" s="322">
        <v>1</v>
      </c>
      <c r="P18" s="510">
        <v>5</v>
      </c>
      <c r="Q18" s="322">
        <v>12</v>
      </c>
      <c r="R18" s="510">
        <f t="shared" si="1"/>
        <v>0.41666666666666669</v>
      </c>
    </row>
    <row r="19" spans="2:18" s="17" customFormat="1" ht="27.75" customHeight="1">
      <c r="B19" s="1142" t="s">
        <v>25</v>
      </c>
      <c r="C19" s="1143"/>
      <c r="D19" s="1143"/>
      <c r="E19" s="1143"/>
      <c r="F19" s="1143"/>
      <c r="G19" s="1144"/>
      <c r="H19" s="519" t="s">
        <v>26</v>
      </c>
      <c r="I19" s="1145" t="s">
        <v>27</v>
      </c>
      <c r="J19" s="1146"/>
      <c r="K19" s="1147"/>
      <c r="N19" s="321" t="s">
        <v>163</v>
      </c>
      <c r="O19" s="322">
        <v>2</v>
      </c>
      <c r="P19" s="510">
        <v>1</v>
      </c>
      <c r="Q19" s="322">
        <v>12</v>
      </c>
      <c r="R19" s="510">
        <f>(O19*P19)/Q19</f>
        <v>0.16666666666666666</v>
      </c>
    </row>
    <row r="20" spans="2:18" s="17" customFormat="1" ht="27.75" customHeight="1">
      <c r="B20" s="1148" t="str">
        <f>H12</f>
        <v>VIGILANCIA ARMADA 12 HORAS DIURNAS 12X36 DE SEGUNDA FEIRA A DOMINGO</v>
      </c>
      <c r="C20" s="1149"/>
      <c r="D20" s="1149"/>
      <c r="E20" s="1149"/>
      <c r="F20" s="1149"/>
      <c r="G20" s="1150"/>
      <c r="H20" s="317" t="s">
        <v>94</v>
      </c>
      <c r="I20" s="1151">
        <v>2</v>
      </c>
      <c r="J20" s="1152"/>
      <c r="K20" s="1153"/>
      <c r="N20" s="1096" t="s">
        <v>147</v>
      </c>
      <c r="O20" s="1097"/>
      <c r="P20" s="1097"/>
      <c r="Q20" s="1098"/>
      <c r="R20" s="511">
        <f>R7+R8+R9+R10+R11+R12+R13+R14+R15+R16+R17+R18+R19</f>
        <v>68.366666666666674</v>
      </c>
    </row>
    <row r="21" spans="2:18" s="17" customFormat="1" ht="12.75">
      <c r="B21" s="291"/>
      <c r="C21" s="487"/>
      <c r="D21" s="495"/>
      <c r="E21" s="495"/>
      <c r="F21" s="495"/>
      <c r="G21" s="495"/>
      <c r="H21" s="495"/>
      <c r="I21" s="495"/>
      <c r="J21" s="495"/>
      <c r="K21" s="488"/>
      <c r="N21" s="512"/>
      <c r="O21" s="513"/>
      <c r="P21" s="513"/>
      <c r="Q21" s="513"/>
      <c r="R21" s="514"/>
    </row>
    <row r="22" spans="2:18" s="17" customFormat="1" ht="12.75">
      <c r="B22" s="1124" t="s">
        <v>140</v>
      </c>
      <c r="C22" s="1125"/>
      <c r="D22" s="1125"/>
      <c r="E22" s="1125"/>
      <c r="F22" s="1125"/>
      <c r="G22" s="1125"/>
      <c r="H22" s="1125"/>
      <c r="I22" s="1125"/>
      <c r="J22" s="1125"/>
      <c r="K22" s="1126"/>
      <c r="N22" s="1096" t="s">
        <v>188</v>
      </c>
      <c r="O22" s="1097"/>
      <c r="P22" s="1097"/>
      <c r="Q22" s="1097"/>
      <c r="R22" s="1098"/>
    </row>
    <row r="23" spans="2:18" s="17" customFormat="1" ht="12.75">
      <c r="B23" s="291"/>
      <c r="C23" s="495"/>
      <c r="D23" s="495"/>
      <c r="E23" s="495"/>
      <c r="F23" s="495"/>
      <c r="G23" s="495"/>
      <c r="H23" s="495"/>
      <c r="I23" s="495"/>
      <c r="J23" s="495"/>
      <c r="K23" s="488"/>
      <c r="N23" s="323" t="s">
        <v>114</v>
      </c>
      <c r="O23" s="324" t="s">
        <v>115</v>
      </c>
      <c r="P23" s="324" t="s">
        <v>116</v>
      </c>
      <c r="Q23" s="324" t="s">
        <v>117</v>
      </c>
      <c r="R23" s="324" t="s">
        <v>97</v>
      </c>
    </row>
    <row r="24" spans="2:18" s="17" customFormat="1" ht="12.75">
      <c r="B24" s="1055" t="s">
        <v>38</v>
      </c>
      <c r="C24" s="1056"/>
      <c r="D24" s="1056"/>
      <c r="E24" s="1056"/>
      <c r="F24" s="1056"/>
      <c r="G24" s="1056"/>
      <c r="H24" s="1056"/>
      <c r="I24" s="1056"/>
      <c r="J24" s="1056"/>
      <c r="K24" s="1057"/>
      <c r="N24" s="325" t="s">
        <v>120</v>
      </c>
      <c r="O24" s="326">
        <v>1</v>
      </c>
      <c r="P24" s="515">
        <v>30</v>
      </c>
      <c r="Q24" s="326">
        <v>6</v>
      </c>
      <c r="R24" s="516">
        <f>(O24*P24)/Q24</f>
        <v>5</v>
      </c>
    </row>
    <row r="25" spans="2:18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33"/>
      <c r="J25" s="1037"/>
      <c r="K25" s="238" t="s">
        <v>259</v>
      </c>
      <c r="N25" s="327" t="s">
        <v>125</v>
      </c>
      <c r="O25" s="326">
        <v>1</v>
      </c>
      <c r="P25" s="515">
        <v>400</v>
      </c>
      <c r="Q25" s="326">
        <v>60</v>
      </c>
      <c r="R25" s="515">
        <f>O25*P25/Q25</f>
        <v>6.666666666666667</v>
      </c>
    </row>
    <row r="26" spans="2:18" s="17" customFormat="1" ht="12.75">
      <c r="B26" s="238">
        <v>2</v>
      </c>
      <c r="C26" s="1038" t="s">
        <v>39</v>
      </c>
      <c r="D26" s="1039"/>
      <c r="E26" s="1039"/>
      <c r="F26" s="1039"/>
      <c r="G26" s="1039"/>
      <c r="H26" s="1039"/>
      <c r="I26" s="1039"/>
      <c r="J26" s="1040"/>
      <c r="K26" s="238" t="s">
        <v>121</v>
      </c>
      <c r="N26" s="328" t="s">
        <v>190</v>
      </c>
      <c r="O26" s="326">
        <v>1</v>
      </c>
      <c r="P26" s="515">
        <v>20</v>
      </c>
      <c r="Q26" s="326">
        <v>12</v>
      </c>
      <c r="R26" s="515">
        <f t="shared" ref="R26" si="2">(O26*P26)/Q26</f>
        <v>1.6666666666666667</v>
      </c>
    </row>
    <row r="27" spans="2:18" s="17" customFormat="1" ht="12.75">
      <c r="B27" s="238">
        <v>3</v>
      </c>
      <c r="C27" s="1038" t="s">
        <v>6</v>
      </c>
      <c r="D27" s="1039"/>
      <c r="E27" s="1039"/>
      <c r="F27" s="1039"/>
      <c r="G27" s="1039"/>
      <c r="H27" s="1039"/>
      <c r="I27" s="1039"/>
      <c r="J27" s="1040"/>
      <c r="K27" s="282">
        <f>H14</f>
        <v>1532.24</v>
      </c>
      <c r="N27" s="328" t="s">
        <v>210</v>
      </c>
      <c r="O27" s="322">
        <v>1</v>
      </c>
      <c r="P27" s="510">
        <v>30</v>
      </c>
      <c r="Q27" s="322">
        <v>12</v>
      </c>
      <c r="R27" s="510">
        <f>(O27*P27)/Q27</f>
        <v>2.5</v>
      </c>
    </row>
    <row r="28" spans="2:18" s="17" customFormat="1" ht="12.75">
      <c r="B28" s="238">
        <v>4</v>
      </c>
      <c r="C28" s="1038" t="s">
        <v>177</v>
      </c>
      <c r="D28" s="1039"/>
      <c r="E28" s="1039"/>
      <c r="F28" s="1039"/>
      <c r="G28" s="1039"/>
      <c r="H28" s="1039"/>
      <c r="I28" s="1039"/>
      <c r="J28" s="1040"/>
      <c r="K28" s="238" t="s">
        <v>108</v>
      </c>
      <c r="N28" s="321" t="s">
        <v>215</v>
      </c>
      <c r="O28" s="322">
        <v>1</v>
      </c>
      <c r="P28" s="510">
        <v>5</v>
      </c>
      <c r="Q28" s="322">
        <v>6</v>
      </c>
      <c r="R28" s="510">
        <f t="shared" ref="R28:R29" si="3">(O28*P28)/Q28</f>
        <v>0.83333333333333337</v>
      </c>
    </row>
    <row r="29" spans="2:18" s="17" customFormat="1" ht="12.75">
      <c r="B29" s="238">
        <v>6</v>
      </c>
      <c r="C29" s="1038" t="s">
        <v>5</v>
      </c>
      <c r="D29" s="1039"/>
      <c r="E29" s="1039"/>
      <c r="F29" s="1039"/>
      <c r="G29" s="1039"/>
      <c r="H29" s="1039"/>
      <c r="I29" s="1039"/>
      <c r="J29" s="1040"/>
      <c r="K29" s="283">
        <v>43831</v>
      </c>
      <c r="N29" s="328" t="s">
        <v>211</v>
      </c>
      <c r="O29" s="322">
        <v>1</v>
      </c>
      <c r="P29" s="510">
        <v>250</v>
      </c>
      <c r="Q29" s="322">
        <v>60</v>
      </c>
      <c r="R29" s="510">
        <f t="shared" si="3"/>
        <v>4.166666666666667</v>
      </c>
    </row>
    <row r="30" spans="2:18" s="17" customFormat="1" ht="12.75">
      <c r="B30" s="291"/>
      <c r="C30" s="1160"/>
      <c r="D30" s="1160"/>
      <c r="E30" s="1160"/>
      <c r="F30" s="1160"/>
      <c r="G30" s="1160"/>
      <c r="H30" s="1160"/>
      <c r="I30" s="1160"/>
      <c r="J30" s="1160"/>
      <c r="K30" s="1161"/>
      <c r="N30" s="1096" t="s">
        <v>219</v>
      </c>
      <c r="O30" s="1097"/>
      <c r="P30" s="1097"/>
      <c r="Q30" s="1098"/>
      <c r="R30" s="329">
        <f>R24+R25+R26+R27+R28+R29</f>
        <v>20.833333333333336</v>
      </c>
    </row>
    <row r="31" spans="2:18" s="17" customFormat="1" ht="12.75">
      <c r="B31" s="1055" t="s">
        <v>23</v>
      </c>
      <c r="C31" s="1056"/>
      <c r="D31" s="1056"/>
      <c r="E31" s="1056"/>
      <c r="F31" s="1056"/>
      <c r="G31" s="1056"/>
      <c r="H31" s="1056"/>
      <c r="I31" s="1056"/>
      <c r="J31" s="1056"/>
      <c r="K31" s="1057"/>
      <c r="N31" s="331"/>
      <c r="O31" s="508"/>
      <c r="P31" s="508"/>
      <c r="Q31" s="508"/>
      <c r="R31" s="333"/>
    </row>
    <row r="32" spans="2:18" s="17" customFormat="1" ht="12.75">
      <c r="B32" s="238">
        <v>1</v>
      </c>
      <c r="C32" s="1162" t="s">
        <v>15</v>
      </c>
      <c r="D32" s="1163"/>
      <c r="E32" s="1163"/>
      <c r="F32" s="1163"/>
      <c r="G32" s="1163"/>
      <c r="H32" s="1163"/>
      <c r="I32" s="1164"/>
      <c r="J32" s="489" t="s">
        <v>3</v>
      </c>
      <c r="K32" s="489" t="s">
        <v>1</v>
      </c>
      <c r="N32" s="1096" t="s">
        <v>188</v>
      </c>
      <c r="O32" s="1097"/>
      <c r="P32" s="1097"/>
      <c r="Q32" s="1097"/>
      <c r="R32" s="1098"/>
    </row>
    <row r="33" spans="2:19" s="17" customFormat="1" ht="12.75">
      <c r="B33" s="238" t="s">
        <v>7</v>
      </c>
      <c r="C33" s="1038" t="s">
        <v>24</v>
      </c>
      <c r="D33" s="1039"/>
      <c r="E33" s="1039"/>
      <c r="F33" s="1039"/>
      <c r="G33" s="1039"/>
      <c r="H33" s="1039"/>
      <c r="I33" s="1040"/>
      <c r="J33" s="275">
        <v>1</v>
      </c>
      <c r="K33" s="276">
        <f>K27</f>
        <v>1532.24</v>
      </c>
      <c r="L33" s="21"/>
      <c r="N33" s="323" t="s">
        <v>114</v>
      </c>
      <c r="O33" s="324" t="s">
        <v>115</v>
      </c>
      <c r="P33" s="324" t="s">
        <v>116</v>
      </c>
      <c r="Q33" s="324" t="s">
        <v>117</v>
      </c>
      <c r="R33" s="324" t="s">
        <v>97</v>
      </c>
    </row>
    <row r="34" spans="2:19" s="17" customFormat="1" ht="12.75">
      <c r="B34" s="238" t="s">
        <v>8</v>
      </c>
      <c r="C34" s="1038" t="s">
        <v>40</v>
      </c>
      <c r="D34" s="1039"/>
      <c r="E34" s="1039"/>
      <c r="F34" s="1039"/>
      <c r="G34" s="1039"/>
      <c r="H34" s="1039"/>
      <c r="I34" s="1040"/>
      <c r="J34" s="261">
        <v>0.3</v>
      </c>
      <c r="K34" s="276">
        <f>K33*J34</f>
        <v>459.67199999999997</v>
      </c>
      <c r="L34" s="21"/>
      <c r="N34" s="328" t="s">
        <v>220</v>
      </c>
      <c r="O34" s="322">
        <v>1</v>
      </c>
      <c r="P34" s="510">
        <v>1200</v>
      </c>
      <c r="Q34" s="326">
        <v>60</v>
      </c>
      <c r="R34" s="516">
        <f>(O34*P34)/Q34</f>
        <v>20</v>
      </c>
    </row>
    <row r="35" spans="2:19" s="17" customFormat="1" ht="12.75">
      <c r="B35" s="238" t="s">
        <v>9</v>
      </c>
      <c r="C35" s="1038" t="s">
        <v>2</v>
      </c>
      <c r="D35" s="1039"/>
      <c r="E35" s="1039"/>
      <c r="F35" s="1039"/>
      <c r="G35" s="1039"/>
      <c r="H35" s="1039"/>
      <c r="I35" s="1040"/>
      <c r="J35" s="261">
        <f>(7%/12%)</f>
        <v>0.58333333333333337</v>
      </c>
      <c r="K35" s="276">
        <f>(K33+K34)*J35*20%</f>
        <v>232.38973333333334</v>
      </c>
      <c r="L35" s="22">
        <v>1.66</v>
      </c>
      <c r="N35" s="328" t="s">
        <v>221</v>
      </c>
      <c r="O35" s="322">
        <v>12</v>
      </c>
      <c r="P35" s="510">
        <v>7</v>
      </c>
      <c r="Q35" s="326">
        <v>60</v>
      </c>
      <c r="R35" s="515">
        <f>O35*P35/Q35</f>
        <v>1.4</v>
      </c>
      <c r="S35" s="23"/>
    </row>
    <row r="36" spans="2:19" s="17" customFormat="1" ht="12.75">
      <c r="B36" s="238" t="s">
        <v>10</v>
      </c>
      <c r="C36" s="1038" t="s">
        <v>109</v>
      </c>
      <c r="D36" s="1039"/>
      <c r="E36" s="1039"/>
      <c r="F36" s="1039"/>
      <c r="G36" s="1039"/>
      <c r="H36" s="1039"/>
      <c r="I36" s="1040"/>
      <c r="J36" s="261">
        <f>(1%/12%)</f>
        <v>8.3333333333333343E-2</v>
      </c>
      <c r="K36" s="276">
        <f>(K33+K34)*J36*1.2</f>
        <v>199.19120000000001</v>
      </c>
      <c r="L36" s="22">
        <v>14.9</v>
      </c>
      <c r="N36" s="1096" t="s">
        <v>219</v>
      </c>
      <c r="O36" s="1097"/>
      <c r="P36" s="1097"/>
      <c r="Q36" s="1098"/>
      <c r="R36" s="329">
        <f>R34+R35</f>
        <v>21.4</v>
      </c>
      <c r="S36" s="16"/>
    </row>
    <row r="37" spans="2:19" s="17" customFormat="1" ht="15" hidden="1" customHeight="1">
      <c r="B37" s="238"/>
      <c r="C37" s="243"/>
      <c r="D37" s="1038" t="s">
        <v>111</v>
      </c>
      <c r="E37" s="1039"/>
      <c r="F37" s="1039"/>
      <c r="G37" s="1039"/>
      <c r="H37" s="1039"/>
      <c r="I37" s="1040"/>
      <c r="J37" s="278">
        <v>0</v>
      </c>
      <c r="K37" s="276">
        <f>J37*15</f>
        <v>0</v>
      </c>
      <c r="L37" s="22"/>
      <c r="N37" s="503"/>
      <c r="O37" s="504"/>
      <c r="P37" s="504"/>
      <c r="Q37" s="504"/>
      <c r="R37" s="504"/>
    </row>
    <row r="38" spans="2:19" s="17" customFormat="1" ht="15" hidden="1" customHeight="1">
      <c r="B38" s="238"/>
      <c r="C38" s="489"/>
      <c r="D38" s="1038" t="s">
        <v>110</v>
      </c>
      <c r="E38" s="1039"/>
      <c r="F38" s="1039"/>
      <c r="G38" s="1039"/>
      <c r="H38" s="1039"/>
      <c r="I38" s="1040"/>
      <c r="J38" s="278">
        <v>0</v>
      </c>
      <c r="K38" s="276">
        <f>K37/6</f>
        <v>0</v>
      </c>
      <c r="L38" s="22"/>
      <c r="N38" s="503"/>
      <c r="O38" s="504"/>
      <c r="P38" s="504"/>
      <c r="Q38" s="504"/>
      <c r="R38" s="504"/>
    </row>
    <row r="39" spans="2:19" s="17" customFormat="1" ht="15" hidden="1" customHeight="1">
      <c r="B39" s="238"/>
      <c r="C39" s="489"/>
      <c r="D39" s="1038" t="s">
        <v>112</v>
      </c>
      <c r="E39" s="1039"/>
      <c r="F39" s="1039"/>
      <c r="G39" s="1039"/>
      <c r="H39" s="1039"/>
      <c r="I39" s="1040"/>
      <c r="J39" s="279">
        <v>0</v>
      </c>
      <c r="K39" s="276">
        <f>J39*J35</f>
        <v>0</v>
      </c>
      <c r="L39" s="22"/>
      <c r="N39" s="503"/>
      <c r="O39" s="504"/>
      <c r="P39" s="504"/>
      <c r="Q39" s="504"/>
      <c r="R39" s="504"/>
    </row>
    <row r="40" spans="2:19" s="17" customFormat="1">
      <c r="B40" s="238" t="s">
        <v>11</v>
      </c>
      <c r="C40" s="1038" t="s">
        <v>123</v>
      </c>
      <c r="D40" s="1039"/>
      <c r="E40" s="1039"/>
      <c r="F40" s="1039"/>
      <c r="G40" s="1039"/>
      <c r="H40" s="1039"/>
      <c r="I40" s="1040"/>
      <c r="J40" s="280"/>
      <c r="K40" s="276"/>
      <c r="L40" s="22"/>
      <c r="N40" s="503"/>
      <c r="O40" s="504"/>
      <c r="P40" s="504"/>
      <c r="Q40" s="504"/>
      <c r="R40" s="504"/>
    </row>
    <row r="41" spans="2:19" s="17" customFormat="1">
      <c r="B41" s="1162" t="s">
        <v>95</v>
      </c>
      <c r="C41" s="1163"/>
      <c r="D41" s="1163"/>
      <c r="E41" s="1163"/>
      <c r="F41" s="1163"/>
      <c r="G41" s="1163"/>
      <c r="H41" s="1163"/>
      <c r="I41" s="1163"/>
      <c r="J41" s="1164"/>
      <c r="K41" s="274">
        <f>SUM(K33:K40)</f>
        <v>2423.4929333333334</v>
      </c>
      <c r="L41" s="22"/>
      <c r="N41" s="503"/>
      <c r="O41" s="504"/>
      <c r="P41" s="504"/>
      <c r="Q41" s="504"/>
      <c r="R41" s="504"/>
      <c r="S41" s="23"/>
    </row>
    <row r="42" spans="2:19" s="17" customFormat="1">
      <c r="B42" s="1055" t="s">
        <v>57</v>
      </c>
      <c r="C42" s="1056"/>
      <c r="D42" s="1056"/>
      <c r="E42" s="1056"/>
      <c r="F42" s="1056"/>
      <c r="G42" s="1056"/>
      <c r="H42" s="1056"/>
      <c r="I42" s="1056"/>
      <c r="J42" s="1057"/>
      <c r="K42" s="520">
        <f>SUM(K41)</f>
        <v>2423.4929333333334</v>
      </c>
      <c r="L42" s="22"/>
      <c r="N42" s="503"/>
      <c r="O42" s="1035" t="s">
        <v>241</v>
      </c>
      <c r="P42" s="1035"/>
      <c r="Q42" s="1035"/>
      <c r="R42" s="1035"/>
    </row>
    <row r="43" spans="2:19" s="17" customFormat="1">
      <c r="B43" s="291"/>
      <c r="C43" s="493"/>
      <c r="D43" s="493"/>
      <c r="E43" s="493"/>
      <c r="F43" s="493"/>
      <c r="G43" s="493"/>
      <c r="H43" s="493"/>
      <c r="I43" s="493"/>
      <c r="J43" s="493"/>
      <c r="K43" s="293"/>
      <c r="L43" s="27"/>
      <c r="N43" s="503"/>
      <c r="O43" s="1101" t="s">
        <v>242</v>
      </c>
      <c r="P43" s="1101"/>
      <c r="Q43" s="1101"/>
      <c r="R43" s="1101"/>
    </row>
    <row r="44" spans="2:19" s="17" customFormat="1">
      <c r="B44" s="291"/>
      <c r="C44" s="493"/>
      <c r="D44" s="493"/>
      <c r="E44" s="493"/>
      <c r="F44" s="493"/>
      <c r="G44" s="493"/>
      <c r="H44" s="493"/>
      <c r="I44" s="493"/>
      <c r="J44" s="493"/>
      <c r="K44" s="294"/>
      <c r="L44" s="29"/>
      <c r="N44" s="503"/>
      <c r="O44" s="504"/>
      <c r="P44" s="504"/>
      <c r="Q44" s="504"/>
      <c r="R44" s="504"/>
    </row>
    <row r="45" spans="2:19" s="17" customFormat="1">
      <c r="B45" s="1055" t="s">
        <v>41</v>
      </c>
      <c r="C45" s="1056"/>
      <c r="D45" s="1056"/>
      <c r="E45" s="1056"/>
      <c r="F45" s="1056"/>
      <c r="G45" s="1056"/>
      <c r="H45" s="1056"/>
      <c r="I45" s="1056"/>
      <c r="J45" s="1056"/>
      <c r="K45" s="1057"/>
      <c r="L45" s="29"/>
      <c r="N45" s="503"/>
      <c r="O45" s="504"/>
      <c r="P45" s="504"/>
      <c r="Q45" s="504"/>
      <c r="R45" s="504"/>
    </row>
    <row r="46" spans="2:19" s="17" customFormat="1">
      <c r="B46" s="1172" t="s">
        <v>47</v>
      </c>
      <c r="C46" s="1173"/>
      <c r="D46" s="1173"/>
      <c r="E46" s="1173"/>
      <c r="F46" s="1173"/>
      <c r="G46" s="1173"/>
      <c r="H46" s="1173"/>
      <c r="I46" s="1174"/>
      <c r="J46" s="501" t="s">
        <v>3</v>
      </c>
      <c r="K46" s="501" t="s">
        <v>1</v>
      </c>
      <c r="L46" s="29"/>
      <c r="M46" s="16"/>
      <c r="N46" s="503"/>
      <c r="O46" s="504"/>
      <c r="P46" s="504"/>
      <c r="Q46" s="504"/>
      <c r="R46" s="504"/>
    </row>
    <row r="47" spans="2:19" s="17" customFormat="1">
      <c r="B47" s="238" t="s">
        <v>7</v>
      </c>
      <c r="C47" s="1038" t="s">
        <v>178</v>
      </c>
      <c r="D47" s="1039"/>
      <c r="E47" s="1039"/>
      <c r="F47" s="1039"/>
      <c r="G47" s="1039"/>
      <c r="H47" s="1039"/>
      <c r="I47" s="1040"/>
      <c r="J47" s="411">
        <v>8.3299999999999999E-2</v>
      </c>
      <c r="K47" s="274">
        <f>$K$41*J47</f>
        <v>201.87696134666666</v>
      </c>
      <c r="L47" s="29"/>
      <c r="M47" s="30"/>
      <c r="N47" s="503"/>
      <c r="O47" s="504"/>
      <c r="P47" s="504"/>
      <c r="Q47" s="504"/>
      <c r="R47" s="504"/>
    </row>
    <row r="48" spans="2:19" s="17" customFormat="1">
      <c r="B48" s="238" t="s">
        <v>8</v>
      </c>
      <c r="C48" s="1038" t="s">
        <v>172</v>
      </c>
      <c r="D48" s="1039"/>
      <c r="E48" s="1039"/>
      <c r="F48" s="1039"/>
      <c r="G48" s="1039"/>
      <c r="H48" s="1039"/>
      <c r="I48" s="1040"/>
      <c r="J48" s="411">
        <v>0.1111</v>
      </c>
      <c r="K48" s="274">
        <f>J48*K41</f>
        <v>269.25006489333333</v>
      </c>
      <c r="L48" s="29"/>
      <c r="M48" s="30"/>
      <c r="N48" s="503"/>
      <c r="O48" s="504"/>
      <c r="P48" s="504"/>
      <c r="Q48" s="504"/>
      <c r="R48" s="504"/>
    </row>
    <row r="49" spans="2:20" s="17" customFormat="1">
      <c r="B49" s="1055" t="s">
        <v>43</v>
      </c>
      <c r="C49" s="1056"/>
      <c r="D49" s="1056"/>
      <c r="E49" s="1056"/>
      <c r="F49" s="1056"/>
      <c r="G49" s="1056"/>
      <c r="H49" s="1056"/>
      <c r="I49" s="1057"/>
      <c r="J49" s="259">
        <f>SUM(J47:J48)</f>
        <v>0.19440000000000002</v>
      </c>
      <c r="K49" s="521">
        <f>SUM(K47:K48)</f>
        <v>471.12702623999996</v>
      </c>
      <c r="L49" s="29"/>
      <c r="M49" s="31"/>
      <c r="N49" s="503"/>
      <c r="O49" s="504"/>
      <c r="P49" s="504"/>
      <c r="Q49" s="504"/>
      <c r="R49" s="504"/>
    </row>
    <row r="50" spans="2:20" s="17" customFormat="1">
      <c r="B50" s="1165"/>
      <c r="C50" s="1160"/>
      <c r="D50" s="1160"/>
      <c r="E50" s="1160"/>
      <c r="F50" s="1160"/>
      <c r="G50" s="1160"/>
      <c r="H50" s="1160"/>
      <c r="I50" s="1160"/>
      <c r="J50" s="1160"/>
      <c r="K50" s="1161"/>
      <c r="L50" s="29"/>
      <c r="M50" s="31"/>
      <c r="N50" s="275">
        <v>1</v>
      </c>
      <c r="O50" s="276">
        <f>O44</f>
        <v>0</v>
      </c>
      <c r="P50" s="504"/>
      <c r="Q50" s="504"/>
      <c r="R50" s="504"/>
    </row>
    <row r="51" spans="2:20" s="17" customFormat="1">
      <c r="B51" s="1055" t="s">
        <v>48</v>
      </c>
      <c r="C51" s="1056"/>
      <c r="D51" s="1056"/>
      <c r="E51" s="1056"/>
      <c r="F51" s="1056"/>
      <c r="G51" s="1056"/>
      <c r="H51" s="1056"/>
      <c r="I51" s="1057"/>
      <c r="J51" s="502" t="s">
        <v>3</v>
      </c>
      <c r="K51" s="502" t="s">
        <v>1</v>
      </c>
      <c r="L51" s="29"/>
      <c r="M51" s="31"/>
      <c r="N51" s="261">
        <v>0.3</v>
      </c>
      <c r="O51" s="276">
        <f>O50*N51</f>
        <v>0</v>
      </c>
      <c r="P51" s="504"/>
      <c r="Q51" s="504"/>
      <c r="R51" s="504"/>
    </row>
    <row r="52" spans="2:20" s="17" customFormat="1" ht="15" customHeight="1">
      <c r="B52" s="238" t="s">
        <v>7</v>
      </c>
      <c r="C52" s="1166" t="s">
        <v>84</v>
      </c>
      <c r="D52" s="1167"/>
      <c r="E52" s="1167"/>
      <c r="F52" s="1167"/>
      <c r="G52" s="1167"/>
      <c r="H52" s="1167"/>
      <c r="I52" s="1168"/>
      <c r="J52" s="272">
        <v>0.2</v>
      </c>
      <c r="K52" s="273">
        <f>J52*$K$42</f>
        <v>484.6985866666667</v>
      </c>
      <c r="L52" s="29"/>
      <c r="M52" s="31"/>
      <c r="N52" s="261">
        <f>(7%/12%)</f>
        <v>0.58333333333333337</v>
      </c>
      <c r="O52" s="276">
        <f>(O50+O51)*N52*20%</f>
        <v>0</v>
      </c>
      <c r="P52" s="504"/>
      <c r="Q52" s="504"/>
      <c r="R52" s="504"/>
    </row>
    <row r="53" spans="2:20" s="17" customFormat="1" ht="14.25" customHeight="1">
      <c r="B53" s="238" t="s">
        <v>8</v>
      </c>
      <c r="C53" s="1166" t="s">
        <v>85</v>
      </c>
      <c r="D53" s="1167"/>
      <c r="E53" s="1167"/>
      <c r="F53" s="1167"/>
      <c r="G53" s="1167"/>
      <c r="H53" s="1167"/>
      <c r="I53" s="1168"/>
      <c r="J53" s="272">
        <v>2.5000000000000001E-2</v>
      </c>
      <c r="K53" s="273">
        <f t="shared" ref="K53:K59" si="4">J53*$K$42</f>
        <v>60.587323333333337</v>
      </c>
      <c r="L53" s="29"/>
      <c r="M53" s="31"/>
      <c r="N53" s="261">
        <f>(1%/12%)</f>
        <v>8.3333333333333343E-2</v>
      </c>
      <c r="O53" s="276">
        <f>(O50+O51)*N53*1.2</f>
        <v>0</v>
      </c>
      <c r="P53" s="504"/>
      <c r="Q53" s="504"/>
      <c r="R53" s="504"/>
    </row>
    <row r="54" spans="2:20" s="17" customFormat="1" ht="19.5" customHeight="1">
      <c r="B54" s="238" t="s">
        <v>9</v>
      </c>
      <c r="C54" s="1169" t="s">
        <v>285</v>
      </c>
      <c r="D54" s="1170"/>
      <c r="E54" s="1170"/>
      <c r="F54" s="1170"/>
      <c r="G54" s="1170"/>
      <c r="H54" s="1170"/>
      <c r="I54" s="1171"/>
      <c r="J54" s="272">
        <v>1.4999999999999999E-2</v>
      </c>
      <c r="K54" s="273">
        <f t="shared" si="4"/>
        <v>36.352393999999997</v>
      </c>
      <c r="L54" s="29"/>
      <c r="M54" s="32"/>
      <c r="N54" s="278">
        <v>0</v>
      </c>
      <c r="O54" s="276">
        <f>N54*15</f>
        <v>0</v>
      </c>
      <c r="P54" s="504"/>
      <c r="Q54" s="504"/>
      <c r="R54" s="504"/>
    </row>
    <row r="55" spans="2:20" s="17" customFormat="1" ht="14.25" customHeight="1">
      <c r="B55" s="238" t="s">
        <v>10</v>
      </c>
      <c r="C55" s="1166" t="s">
        <v>45</v>
      </c>
      <c r="D55" s="1167"/>
      <c r="E55" s="1167"/>
      <c r="F55" s="1167"/>
      <c r="G55" s="1167"/>
      <c r="H55" s="1167"/>
      <c r="I55" s="1168"/>
      <c r="J55" s="272">
        <v>1.4999999999999999E-2</v>
      </c>
      <c r="K55" s="273">
        <f t="shared" si="4"/>
        <v>36.352393999999997</v>
      </c>
      <c r="L55" s="29"/>
      <c r="M55" s="31"/>
      <c r="N55" s="278">
        <v>0</v>
      </c>
      <c r="O55" s="276">
        <f>O54/6</f>
        <v>0</v>
      </c>
      <c r="P55" s="504"/>
      <c r="Q55" s="504"/>
      <c r="R55" s="504"/>
    </row>
    <row r="56" spans="2:20" s="17" customFormat="1" ht="14.25" customHeight="1">
      <c r="B56" s="238" t="s">
        <v>11</v>
      </c>
      <c r="C56" s="1166" t="s">
        <v>86</v>
      </c>
      <c r="D56" s="1167"/>
      <c r="E56" s="1167"/>
      <c r="F56" s="1167"/>
      <c r="G56" s="1167"/>
      <c r="H56" s="1167"/>
      <c r="I56" s="1168"/>
      <c r="J56" s="272">
        <v>0.01</v>
      </c>
      <c r="K56" s="273">
        <f t="shared" si="4"/>
        <v>24.234929333333334</v>
      </c>
      <c r="L56" s="29"/>
      <c r="M56" s="31"/>
      <c r="N56" s="279">
        <v>0</v>
      </c>
      <c r="O56" s="276">
        <f>N56*N52</f>
        <v>0</v>
      </c>
      <c r="P56" s="504"/>
      <c r="Q56" s="504"/>
      <c r="R56" s="504"/>
    </row>
    <row r="57" spans="2:20" s="17" customFormat="1" ht="15" customHeight="1">
      <c r="B57" s="238" t="s">
        <v>12</v>
      </c>
      <c r="C57" s="1169" t="s">
        <v>87</v>
      </c>
      <c r="D57" s="1170"/>
      <c r="E57" s="1170"/>
      <c r="F57" s="1170"/>
      <c r="G57" s="1170"/>
      <c r="H57" s="1170"/>
      <c r="I57" s="1171"/>
      <c r="J57" s="272">
        <v>6.0000000000000001E-3</v>
      </c>
      <c r="K57" s="273">
        <f t="shared" si="4"/>
        <v>14.5409576</v>
      </c>
      <c r="L57" s="29"/>
      <c r="M57" s="31"/>
      <c r="N57" s="280"/>
      <c r="O57" s="276"/>
      <c r="P57" s="504"/>
      <c r="Q57" s="504"/>
      <c r="R57" s="504"/>
    </row>
    <row r="58" spans="2:20" s="17" customFormat="1" ht="15" customHeight="1">
      <c r="B58" s="238" t="s">
        <v>13</v>
      </c>
      <c r="C58" s="1169" t="s">
        <v>88</v>
      </c>
      <c r="D58" s="1170"/>
      <c r="E58" s="1170"/>
      <c r="F58" s="1170"/>
      <c r="G58" s="1170"/>
      <c r="H58" s="1170"/>
      <c r="I58" s="1171"/>
      <c r="J58" s="272">
        <v>2E-3</v>
      </c>
      <c r="K58" s="273">
        <f t="shared" si="4"/>
        <v>4.8469858666666674</v>
      </c>
      <c r="L58" s="29"/>
      <c r="M58" s="31"/>
      <c r="N58" s="503"/>
      <c r="O58" s="504"/>
      <c r="P58" s="504"/>
      <c r="Q58" s="504"/>
      <c r="R58" s="504"/>
    </row>
    <row r="59" spans="2:20" s="17" customFormat="1" ht="15" customHeight="1">
      <c r="B59" s="238" t="s">
        <v>14</v>
      </c>
      <c r="C59" s="1169" t="s">
        <v>89</v>
      </c>
      <c r="D59" s="1170"/>
      <c r="E59" s="1170"/>
      <c r="F59" s="1170"/>
      <c r="G59" s="1170"/>
      <c r="H59" s="1170"/>
      <c r="I59" s="1171"/>
      <c r="J59" s="272">
        <v>0.08</v>
      </c>
      <c r="K59" s="273">
        <f t="shared" si="4"/>
        <v>193.87943466666667</v>
      </c>
      <c r="L59" s="29"/>
      <c r="M59" s="31"/>
      <c r="N59" s="503"/>
      <c r="O59" s="504"/>
      <c r="P59" s="504"/>
      <c r="Q59" s="504"/>
      <c r="R59" s="504"/>
    </row>
    <row r="60" spans="2:20" s="17" customFormat="1">
      <c r="B60" s="1055" t="s">
        <v>46</v>
      </c>
      <c r="C60" s="1056"/>
      <c r="D60" s="1056"/>
      <c r="E60" s="1056"/>
      <c r="F60" s="1056"/>
      <c r="G60" s="1056"/>
      <c r="H60" s="1056"/>
      <c r="I60" s="1057"/>
      <c r="J60" s="259">
        <f>SUM(J52:J59)</f>
        <v>0.35300000000000004</v>
      </c>
      <c r="K60" s="521">
        <f>TRUNC(SUM(K52:K59),2)</f>
        <v>855.49</v>
      </c>
      <c r="L60" s="29"/>
      <c r="M60" s="31"/>
      <c r="N60" s="503"/>
      <c r="O60" s="504"/>
      <c r="P60" s="504"/>
      <c r="Q60" s="504"/>
      <c r="R60" s="504"/>
    </row>
    <row r="61" spans="2:20" s="17" customFormat="1">
      <c r="B61" s="291"/>
      <c r="C61" s="1187"/>
      <c r="D61" s="1188"/>
      <c r="E61" s="1188"/>
      <c r="F61" s="1188"/>
      <c r="G61" s="1188"/>
      <c r="H61" s="1188"/>
      <c r="I61" s="1188"/>
      <c r="J61" s="1188"/>
      <c r="K61" s="1189"/>
      <c r="L61" s="29"/>
      <c r="M61" s="31"/>
      <c r="N61" s="503"/>
      <c r="O61" s="504"/>
      <c r="P61" s="504"/>
      <c r="Q61" s="504"/>
      <c r="R61" s="504"/>
    </row>
    <row r="62" spans="2:20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7"/>
      <c r="J62" s="1055" t="s">
        <v>1</v>
      </c>
      <c r="K62" s="1057"/>
      <c r="L62" s="29"/>
      <c r="M62" s="31"/>
      <c r="N62" s="503"/>
      <c r="O62" s="504"/>
      <c r="P62" s="504"/>
      <c r="Q62" s="504"/>
      <c r="R62" s="504"/>
    </row>
    <row r="63" spans="2:20" s="17" customFormat="1" ht="13.5" customHeight="1">
      <c r="B63" s="1175" t="s">
        <v>7</v>
      </c>
      <c r="C63" s="1177" t="s">
        <v>113</v>
      </c>
      <c r="D63" s="1178"/>
      <c r="E63" s="1179"/>
      <c r="F63" s="266" t="s">
        <v>90</v>
      </c>
      <c r="G63" s="266" t="s">
        <v>91</v>
      </c>
      <c r="H63" s="266" t="s">
        <v>92</v>
      </c>
      <c r="I63" s="266" t="s">
        <v>93</v>
      </c>
      <c r="J63" s="1183"/>
      <c r="K63" s="1185">
        <f>(F64*G64*H64)-(K33*I64)</f>
        <v>23.565600000000003</v>
      </c>
      <c r="L63" s="29"/>
      <c r="M63" s="30"/>
      <c r="N63" s="503"/>
      <c r="O63" s="504"/>
      <c r="P63" s="504"/>
      <c r="Q63" s="504"/>
      <c r="R63" s="504"/>
    </row>
    <row r="64" spans="2:20" s="17" customFormat="1">
      <c r="B64" s="1176"/>
      <c r="C64" s="1180"/>
      <c r="D64" s="1181"/>
      <c r="E64" s="1182"/>
      <c r="F64" s="267">
        <v>3.85</v>
      </c>
      <c r="G64" s="268">
        <v>2</v>
      </c>
      <c r="H64" s="268">
        <v>15</v>
      </c>
      <c r="I64" s="266">
        <v>0.06</v>
      </c>
      <c r="J64" s="1184"/>
      <c r="K64" s="1186"/>
      <c r="L64" s="29"/>
      <c r="M64" s="31"/>
      <c r="N64" s="503"/>
      <c r="O64" s="504"/>
      <c r="P64" s="504"/>
      <c r="Q64" s="504"/>
      <c r="R64" s="504"/>
      <c r="S64" s="132">
        <f>K33*6%/2</f>
        <v>45.967199999999998</v>
      </c>
      <c r="T64" s="131">
        <f>R64-S64</f>
        <v>-45.967199999999998</v>
      </c>
    </row>
    <row r="65" spans="2:18" s="17" customFormat="1" ht="12.75" customHeight="1">
      <c r="B65" s="269" t="s">
        <v>8</v>
      </c>
      <c r="C65" s="1193" t="s">
        <v>173</v>
      </c>
      <c r="D65" s="1194"/>
      <c r="E65" s="1194"/>
      <c r="F65" s="1194"/>
      <c r="G65" s="1194"/>
      <c r="H65" s="1194"/>
      <c r="I65" s="1195"/>
      <c r="J65" s="491">
        <v>27</v>
      </c>
      <c r="K65" s="271" t="s">
        <v>292</v>
      </c>
      <c r="L65" s="29"/>
      <c r="M65" s="31"/>
      <c r="N65" s="503"/>
      <c r="O65" s="504"/>
      <c r="P65" s="504"/>
      <c r="Q65" s="504"/>
      <c r="R65" s="504"/>
    </row>
    <row r="66" spans="2:18" s="17" customFormat="1" ht="12.75" customHeight="1">
      <c r="B66" s="269" t="s">
        <v>9</v>
      </c>
      <c r="C66" s="1196" t="s">
        <v>98</v>
      </c>
      <c r="D66" s="1197"/>
      <c r="E66" s="1197"/>
      <c r="F66" s="1197"/>
      <c r="G66" s="1197"/>
      <c r="H66" s="1197"/>
      <c r="I66" s="1198"/>
      <c r="J66" s="491">
        <v>5.08</v>
      </c>
      <c r="K66" s="271">
        <f>J66</f>
        <v>5.08</v>
      </c>
      <c r="L66" s="29"/>
      <c r="M66" s="31"/>
      <c r="N66" s="503"/>
      <c r="O66" s="504"/>
      <c r="P66" s="504"/>
      <c r="Q66" s="504"/>
      <c r="R66" s="504"/>
    </row>
    <row r="67" spans="2:18" s="17" customFormat="1">
      <c r="B67" s="269" t="s">
        <v>10</v>
      </c>
      <c r="C67" s="1193" t="s">
        <v>254</v>
      </c>
      <c r="D67" s="1194"/>
      <c r="E67" s="1194"/>
      <c r="F67" s="1194"/>
      <c r="G67" s="1194"/>
      <c r="H67" s="1194"/>
      <c r="I67" s="1195"/>
      <c r="J67" s="491">
        <v>0</v>
      </c>
      <c r="K67" s="271">
        <v>6</v>
      </c>
      <c r="L67" s="29"/>
      <c r="M67" s="31"/>
      <c r="N67" s="503"/>
      <c r="O67" s="504"/>
      <c r="P67" s="504"/>
      <c r="Q67" s="504"/>
      <c r="R67" s="504"/>
    </row>
    <row r="68" spans="2:18" s="17" customFormat="1" ht="12.75" customHeight="1">
      <c r="B68" s="269" t="s">
        <v>11</v>
      </c>
      <c r="C68" s="1199" t="s">
        <v>290</v>
      </c>
      <c r="D68" s="1200"/>
      <c r="E68" s="1200"/>
      <c r="F68" s="1200"/>
      <c r="G68" s="1200"/>
      <c r="H68" s="1200"/>
      <c r="I68" s="1201"/>
      <c r="J68" s="491">
        <v>50</v>
      </c>
      <c r="K68" s="271">
        <v>90</v>
      </c>
      <c r="L68" s="27">
        <f>K42/220</f>
        <v>11.01587696969697</v>
      </c>
      <c r="M68" s="31"/>
      <c r="N68" s="503"/>
      <c r="O68" s="504"/>
      <c r="P68" s="504"/>
      <c r="Q68" s="504"/>
      <c r="R68" s="504"/>
    </row>
    <row r="69" spans="2:18" s="17" customFormat="1" ht="15" customHeight="1">
      <c r="B69" s="269" t="s">
        <v>11</v>
      </c>
      <c r="C69" s="1199" t="s">
        <v>291</v>
      </c>
      <c r="D69" s="1200"/>
      <c r="E69" s="1200"/>
      <c r="F69" s="1200"/>
      <c r="G69" s="1200"/>
      <c r="H69" s="1200"/>
      <c r="I69" s="1201"/>
      <c r="J69" s="491"/>
      <c r="K69" s="271"/>
      <c r="L69" s="27">
        <f>K41/220</f>
        <v>11.01587696969697</v>
      </c>
      <c r="M69" s="31"/>
      <c r="N69" s="503"/>
      <c r="O69" s="504"/>
      <c r="P69" s="504"/>
      <c r="Q69" s="504"/>
      <c r="R69" s="504"/>
    </row>
    <row r="70" spans="2:18" s="17" customFormat="1">
      <c r="B70" s="1055" t="s">
        <v>50</v>
      </c>
      <c r="C70" s="1056"/>
      <c r="D70" s="1056"/>
      <c r="E70" s="1056"/>
      <c r="F70" s="1056"/>
      <c r="G70" s="1056"/>
      <c r="H70" s="1056"/>
      <c r="I70" s="1056"/>
      <c r="J70" s="1057"/>
      <c r="K70" s="520">
        <f>SUM(K63:K69)</f>
        <v>124.6456</v>
      </c>
      <c r="L70" s="29"/>
      <c r="M70" s="31"/>
      <c r="N70" s="503"/>
      <c r="O70" s="504"/>
      <c r="P70" s="504"/>
      <c r="Q70" s="504"/>
      <c r="R70" s="504"/>
    </row>
    <row r="71" spans="2:18" s="17" customFormat="1">
      <c r="B71" s="291"/>
      <c r="C71" s="1188"/>
      <c r="D71" s="1188"/>
      <c r="E71" s="1188"/>
      <c r="F71" s="1188"/>
      <c r="G71" s="1188"/>
      <c r="H71" s="1188"/>
      <c r="I71" s="1188"/>
      <c r="J71" s="1188"/>
      <c r="K71" s="1189"/>
      <c r="L71" s="29"/>
      <c r="M71" s="31"/>
      <c r="N71" s="503"/>
      <c r="O71" s="504"/>
      <c r="P71" s="504"/>
      <c r="Q71" s="504"/>
      <c r="R71" s="504"/>
    </row>
    <row r="72" spans="2:18" s="17" customFormat="1">
      <c r="B72" s="1055" t="s">
        <v>51</v>
      </c>
      <c r="C72" s="1056"/>
      <c r="D72" s="1056"/>
      <c r="E72" s="1056"/>
      <c r="F72" s="1056"/>
      <c r="G72" s="1056"/>
      <c r="H72" s="1056"/>
      <c r="I72" s="1056"/>
      <c r="J72" s="1056"/>
      <c r="K72" s="1057"/>
      <c r="L72" s="29"/>
      <c r="M72" s="31"/>
      <c r="N72" s="503"/>
      <c r="O72" s="504"/>
      <c r="P72" s="504"/>
      <c r="Q72" s="504"/>
      <c r="R72" s="504"/>
    </row>
    <row r="73" spans="2:18" s="17" customFormat="1">
      <c r="B73" s="1055" t="s">
        <v>55</v>
      </c>
      <c r="C73" s="1056"/>
      <c r="D73" s="1056"/>
      <c r="E73" s="1056"/>
      <c r="F73" s="1056"/>
      <c r="G73" s="1056"/>
      <c r="H73" s="1056"/>
      <c r="I73" s="1056"/>
      <c r="J73" s="1057"/>
      <c r="K73" s="502" t="s">
        <v>1</v>
      </c>
      <c r="L73" s="29"/>
      <c r="M73" s="31"/>
      <c r="N73" s="503"/>
      <c r="O73" s="504"/>
      <c r="P73" s="504"/>
      <c r="Q73" s="504"/>
      <c r="R73" s="504"/>
    </row>
    <row r="74" spans="2:18" s="17" customFormat="1">
      <c r="B74" s="494" t="s">
        <v>52</v>
      </c>
      <c r="C74" s="1190" t="s">
        <v>42</v>
      </c>
      <c r="D74" s="1191"/>
      <c r="E74" s="1191"/>
      <c r="F74" s="1191"/>
      <c r="G74" s="1191"/>
      <c r="H74" s="1191"/>
      <c r="I74" s="1191"/>
      <c r="J74" s="1192"/>
      <c r="K74" s="242">
        <f>K49</f>
        <v>471.12702623999996</v>
      </c>
      <c r="L74" s="29"/>
      <c r="M74" s="31"/>
      <c r="N74" s="503"/>
      <c r="O74" s="504"/>
      <c r="P74" s="504"/>
      <c r="Q74" s="504"/>
      <c r="R74" s="504"/>
    </row>
    <row r="75" spans="2:18" s="17" customFormat="1">
      <c r="B75" s="264" t="s">
        <v>53</v>
      </c>
      <c r="C75" s="1190" t="s">
        <v>44</v>
      </c>
      <c r="D75" s="1191"/>
      <c r="E75" s="1191"/>
      <c r="F75" s="1191"/>
      <c r="G75" s="1191"/>
      <c r="H75" s="1191"/>
      <c r="I75" s="1191"/>
      <c r="J75" s="1192"/>
      <c r="K75" s="246">
        <f>K60</f>
        <v>855.49</v>
      </c>
      <c r="L75" s="29"/>
      <c r="M75" s="31"/>
      <c r="N75" s="503"/>
      <c r="O75" s="504"/>
      <c r="P75" s="504"/>
      <c r="Q75" s="504"/>
      <c r="R75" s="504"/>
    </row>
    <row r="76" spans="2:18" s="17" customFormat="1">
      <c r="B76" s="264" t="s">
        <v>54</v>
      </c>
      <c r="C76" s="1190" t="s">
        <v>56</v>
      </c>
      <c r="D76" s="1191"/>
      <c r="E76" s="1191"/>
      <c r="F76" s="1191"/>
      <c r="G76" s="1191"/>
      <c r="H76" s="1191"/>
      <c r="I76" s="1191"/>
      <c r="J76" s="1192"/>
      <c r="K76" s="246">
        <f>K70</f>
        <v>124.6456</v>
      </c>
      <c r="L76" s="29"/>
      <c r="M76" s="31"/>
      <c r="N76" s="503"/>
      <c r="O76" s="504"/>
      <c r="P76" s="504"/>
      <c r="Q76" s="504"/>
      <c r="R76" s="504"/>
    </row>
    <row r="77" spans="2:18" s="17" customFormat="1">
      <c r="B77" s="291"/>
      <c r="C77" s="1162" t="s">
        <v>58</v>
      </c>
      <c r="D77" s="1163"/>
      <c r="E77" s="1163"/>
      <c r="F77" s="1163"/>
      <c r="G77" s="1163"/>
      <c r="H77" s="1163"/>
      <c r="I77" s="1163"/>
      <c r="J77" s="1164"/>
      <c r="K77" s="265">
        <f>TRUNC(SUM(K74:K76),2)</f>
        <v>1451.26</v>
      </c>
      <c r="L77" s="29"/>
      <c r="N77" s="503"/>
      <c r="O77" s="504"/>
      <c r="P77" s="504"/>
      <c r="Q77" s="504"/>
      <c r="R77" s="504"/>
    </row>
    <row r="78" spans="2:18" s="17" customFormat="1">
      <c r="B78" s="1055" t="s">
        <v>59</v>
      </c>
      <c r="C78" s="1056"/>
      <c r="D78" s="1056"/>
      <c r="E78" s="1056"/>
      <c r="F78" s="1056"/>
      <c r="G78" s="1056"/>
      <c r="H78" s="1056"/>
      <c r="I78" s="1056"/>
      <c r="J78" s="1056"/>
      <c r="K78" s="1057"/>
      <c r="L78" s="29"/>
      <c r="N78" s="503"/>
      <c r="O78" s="504"/>
      <c r="P78" s="504"/>
      <c r="Q78" s="504"/>
      <c r="R78" s="504"/>
    </row>
    <row r="79" spans="2:18" s="17" customFormat="1">
      <c r="B79" s="489">
        <v>3</v>
      </c>
      <c r="C79" s="1162" t="s">
        <v>60</v>
      </c>
      <c r="D79" s="1163"/>
      <c r="E79" s="1163"/>
      <c r="F79" s="1163"/>
      <c r="G79" s="1163"/>
      <c r="H79" s="1163"/>
      <c r="I79" s="1164"/>
      <c r="J79" s="489" t="s">
        <v>3</v>
      </c>
      <c r="K79" s="489" t="s">
        <v>1</v>
      </c>
      <c r="L79" s="29"/>
      <c r="M79" s="33"/>
      <c r="N79" s="503"/>
      <c r="O79" s="504"/>
      <c r="P79" s="504"/>
      <c r="Q79" s="504"/>
      <c r="R79" s="504"/>
    </row>
    <row r="80" spans="2:18" s="17" customFormat="1">
      <c r="B80" s="489" t="s">
        <v>7</v>
      </c>
      <c r="C80" s="1202" t="s">
        <v>101</v>
      </c>
      <c r="D80" s="1203"/>
      <c r="E80" s="1203"/>
      <c r="F80" s="1203"/>
      <c r="G80" s="1203"/>
      <c r="H80" s="1203"/>
      <c r="I80" s="1204"/>
      <c r="J80" s="416">
        <v>4.4999999999999997E-3</v>
      </c>
      <c r="K80" s="246">
        <f>K42*J80</f>
        <v>10.905718199999999</v>
      </c>
      <c r="L80" s="29"/>
      <c r="M80" s="31"/>
      <c r="N80" s="503"/>
      <c r="O80" s="504"/>
      <c r="P80" s="504"/>
      <c r="Q80" s="504"/>
      <c r="R80" s="504"/>
    </row>
    <row r="81" spans="2:18" s="17" customFormat="1">
      <c r="B81" s="489" t="s">
        <v>8</v>
      </c>
      <c r="C81" s="1190" t="s">
        <v>102</v>
      </c>
      <c r="D81" s="1191"/>
      <c r="E81" s="1191"/>
      <c r="F81" s="1191"/>
      <c r="G81" s="1191"/>
      <c r="H81" s="1191"/>
      <c r="I81" s="1192"/>
      <c r="J81" s="417">
        <f>J59*J80</f>
        <v>3.5999999999999997E-4</v>
      </c>
      <c r="K81" s="242">
        <f>J81*K42</f>
        <v>0.87245745599999991</v>
      </c>
      <c r="L81" s="29"/>
      <c r="M81" s="33"/>
      <c r="N81" s="503"/>
      <c r="O81" s="504"/>
      <c r="P81" s="504"/>
      <c r="Q81" s="504"/>
      <c r="R81" s="504"/>
    </row>
    <row r="82" spans="2:18" s="17" customFormat="1">
      <c r="B82" s="489" t="s">
        <v>9</v>
      </c>
      <c r="C82" s="1202" t="s">
        <v>103</v>
      </c>
      <c r="D82" s="1203"/>
      <c r="E82" s="1203"/>
      <c r="F82" s="1203"/>
      <c r="G82" s="1203"/>
      <c r="H82" s="1203"/>
      <c r="I82" s="1204"/>
      <c r="J82" s="416">
        <v>0.02</v>
      </c>
      <c r="K82" s="242">
        <f>J82*K41</f>
        <v>48.469858666666667</v>
      </c>
      <c r="L82" s="29"/>
      <c r="M82" s="31"/>
      <c r="N82" s="503"/>
      <c r="O82" s="504"/>
      <c r="P82" s="504"/>
      <c r="Q82" s="504"/>
      <c r="R82" s="504"/>
    </row>
    <row r="83" spans="2:18" s="17" customFormat="1">
      <c r="B83" s="489" t="s">
        <v>10</v>
      </c>
      <c r="C83" s="1190" t="s">
        <v>104</v>
      </c>
      <c r="D83" s="1191"/>
      <c r="E83" s="1191"/>
      <c r="F83" s="1191"/>
      <c r="G83" s="1191"/>
      <c r="H83" s="1191"/>
      <c r="I83" s="1192"/>
      <c r="J83" s="261">
        <f>(7/30)/12</f>
        <v>1.9444444444444445E-2</v>
      </c>
      <c r="K83" s="242">
        <f>J83*K41</f>
        <v>47.123473703703709</v>
      </c>
      <c r="L83" s="29"/>
      <c r="M83" s="31"/>
      <c r="N83" s="503"/>
      <c r="O83" s="504"/>
      <c r="P83" s="504"/>
      <c r="Q83" s="504"/>
      <c r="R83" s="504"/>
    </row>
    <row r="84" spans="2:18" s="17" customFormat="1">
      <c r="B84" s="489" t="s">
        <v>11</v>
      </c>
      <c r="C84" s="1190" t="s">
        <v>105</v>
      </c>
      <c r="D84" s="1191"/>
      <c r="E84" s="1191"/>
      <c r="F84" s="1191"/>
      <c r="G84" s="1191"/>
      <c r="H84" s="1191"/>
      <c r="I84" s="1192"/>
      <c r="J84" s="417">
        <f>J60*J83</f>
        <v>6.8638888888888899E-3</v>
      </c>
      <c r="K84" s="242">
        <f>J84*K41</f>
        <v>16.63458621740741</v>
      </c>
      <c r="L84" s="29"/>
      <c r="M84" s="33"/>
      <c r="N84" s="503"/>
      <c r="O84" s="504"/>
      <c r="P84" s="504"/>
      <c r="Q84" s="504"/>
      <c r="R84" s="504"/>
    </row>
    <row r="85" spans="2:18" s="17" customFormat="1">
      <c r="B85" s="489" t="s">
        <v>12</v>
      </c>
      <c r="C85" s="1202" t="s">
        <v>106</v>
      </c>
      <c r="D85" s="1203"/>
      <c r="E85" s="1203"/>
      <c r="F85" s="1203"/>
      <c r="G85" s="1203"/>
      <c r="H85" s="1203"/>
      <c r="I85" s="1204"/>
      <c r="J85" s="416">
        <v>0.02</v>
      </c>
      <c r="K85" s="242">
        <f>J85*K41</f>
        <v>48.469858666666667</v>
      </c>
      <c r="L85" s="29"/>
      <c r="M85" s="31"/>
      <c r="N85" s="503"/>
      <c r="O85" s="504"/>
      <c r="P85" s="504"/>
      <c r="Q85" s="504"/>
      <c r="R85" s="504"/>
    </row>
    <row r="86" spans="2:18" s="17" customFormat="1">
      <c r="B86" s="1055" t="s">
        <v>61</v>
      </c>
      <c r="C86" s="1056"/>
      <c r="D86" s="1056"/>
      <c r="E86" s="1056"/>
      <c r="F86" s="1056"/>
      <c r="G86" s="1056"/>
      <c r="H86" s="1056"/>
      <c r="I86" s="1057"/>
      <c r="J86" s="522">
        <f>SUM(J80:J85)</f>
        <v>7.1168333333333333E-2</v>
      </c>
      <c r="K86" s="260">
        <f>TRUNC(SUM(K80:K85),2)</f>
        <v>172.47</v>
      </c>
      <c r="L86" s="29"/>
      <c r="N86" s="503"/>
      <c r="O86" s="504"/>
      <c r="P86" s="504"/>
      <c r="Q86" s="504"/>
      <c r="R86" s="504"/>
    </row>
    <row r="87" spans="2:18" s="17" customFormat="1">
      <c r="B87" s="291"/>
      <c r="C87" s="1162"/>
      <c r="D87" s="1163"/>
      <c r="E87" s="1163"/>
      <c r="F87" s="1163"/>
      <c r="G87" s="1163"/>
      <c r="H87" s="1163"/>
      <c r="I87" s="1163"/>
      <c r="J87" s="1163"/>
      <c r="K87" s="1164"/>
      <c r="L87" s="29"/>
      <c r="N87" s="503"/>
      <c r="O87" s="504"/>
      <c r="P87" s="504"/>
      <c r="Q87" s="504"/>
      <c r="R87" s="504"/>
    </row>
    <row r="88" spans="2:18" s="17" customFormat="1">
      <c r="B88" s="1055" t="s">
        <v>62</v>
      </c>
      <c r="C88" s="1056"/>
      <c r="D88" s="1056"/>
      <c r="E88" s="1056"/>
      <c r="F88" s="1056"/>
      <c r="G88" s="1056"/>
      <c r="H88" s="1056"/>
      <c r="I88" s="1056"/>
      <c r="J88" s="1056"/>
      <c r="K88" s="1057"/>
      <c r="L88" s="29"/>
      <c r="N88" s="503"/>
      <c r="O88" s="504"/>
      <c r="P88" s="504"/>
      <c r="Q88" s="504"/>
      <c r="R88" s="504"/>
    </row>
    <row r="89" spans="2:18" s="17" customFormat="1">
      <c r="B89" s="1162" t="s">
        <v>63</v>
      </c>
      <c r="C89" s="1163"/>
      <c r="D89" s="1163"/>
      <c r="E89" s="1163"/>
      <c r="F89" s="1163"/>
      <c r="G89" s="1163"/>
      <c r="H89" s="1163"/>
      <c r="I89" s="1164"/>
      <c r="J89" s="489" t="s">
        <v>3</v>
      </c>
      <c r="K89" s="489" t="s">
        <v>1</v>
      </c>
      <c r="L89" s="29"/>
      <c r="M89" s="31"/>
      <c r="N89" s="503"/>
      <c r="O89" s="504"/>
      <c r="P89" s="504"/>
      <c r="Q89" s="504"/>
      <c r="R89" s="504"/>
    </row>
    <row r="90" spans="2:18" s="17" customFormat="1">
      <c r="B90" s="489" t="s">
        <v>7</v>
      </c>
      <c r="C90" s="1190" t="s">
        <v>255</v>
      </c>
      <c r="D90" s="1191"/>
      <c r="E90" s="1191"/>
      <c r="F90" s="1191"/>
      <c r="G90" s="1191"/>
      <c r="H90" s="1191"/>
      <c r="I90" s="1192"/>
      <c r="J90" s="418">
        <f>1/12</f>
        <v>8.3333333333333329E-2</v>
      </c>
      <c r="K90" s="242">
        <f>$K$41*J90</f>
        <v>201.95774444444444</v>
      </c>
      <c r="L90" s="29"/>
      <c r="M90" s="31"/>
      <c r="N90" s="503"/>
      <c r="O90" s="504"/>
      <c r="P90" s="504"/>
      <c r="Q90" s="504"/>
      <c r="R90" s="504"/>
    </row>
    <row r="91" spans="2:18" s="17" customFormat="1">
      <c r="B91" s="243" t="s">
        <v>8</v>
      </c>
      <c r="C91" s="1190" t="s">
        <v>256</v>
      </c>
      <c r="D91" s="1191"/>
      <c r="E91" s="1191"/>
      <c r="F91" s="1191"/>
      <c r="G91" s="1191"/>
      <c r="H91" s="1191"/>
      <c r="I91" s="1192"/>
      <c r="J91" s="418">
        <v>4.4999999999999997E-3</v>
      </c>
      <c r="K91" s="246">
        <f t="shared" ref="K91:K95" si="5">$K$41*J91</f>
        <v>10.905718199999999</v>
      </c>
      <c r="L91" s="29"/>
      <c r="M91" s="33"/>
      <c r="N91" s="503"/>
      <c r="O91" s="504"/>
      <c r="P91" s="504"/>
      <c r="Q91" s="504"/>
      <c r="R91" s="504"/>
    </row>
    <row r="92" spans="2:18" s="17" customFormat="1">
      <c r="B92" s="243" t="s">
        <v>9</v>
      </c>
      <c r="C92" s="1190" t="s">
        <v>182</v>
      </c>
      <c r="D92" s="1191"/>
      <c r="E92" s="1191"/>
      <c r="F92" s="1191"/>
      <c r="G92" s="1191"/>
      <c r="H92" s="1191"/>
      <c r="I92" s="1192"/>
      <c r="J92" s="418">
        <v>2.0000000000000001E-4</v>
      </c>
      <c r="K92" s="246">
        <f t="shared" si="5"/>
        <v>0.48469858666666671</v>
      </c>
      <c r="L92" s="29"/>
      <c r="M92" s="33"/>
      <c r="N92" s="503"/>
      <c r="O92" s="504"/>
      <c r="P92" s="504"/>
      <c r="Q92" s="504"/>
      <c r="R92" s="504"/>
    </row>
    <row r="93" spans="2:18" s="17" customFormat="1">
      <c r="B93" s="243" t="s">
        <v>10</v>
      </c>
      <c r="C93" s="1190" t="s">
        <v>183</v>
      </c>
      <c r="D93" s="1191"/>
      <c r="E93" s="1191"/>
      <c r="F93" s="1191"/>
      <c r="G93" s="1191"/>
      <c r="H93" s="1191"/>
      <c r="I93" s="1192"/>
      <c r="J93" s="418">
        <v>2.9999999999999997E-4</v>
      </c>
      <c r="K93" s="246">
        <f t="shared" si="5"/>
        <v>0.72704787999999998</v>
      </c>
      <c r="L93" s="29"/>
      <c r="M93" s="31"/>
      <c r="N93" s="503"/>
      <c r="O93" s="504"/>
      <c r="P93" s="504"/>
      <c r="Q93" s="504"/>
      <c r="R93" s="504"/>
    </row>
    <row r="94" spans="2:18" s="17" customFormat="1">
      <c r="B94" s="243" t="s">
        <v>11</v>
      </c>
      <c r="C94" s="1190" t="s">
        <v>184</v>
      </c>
      <c r="D94" s="1191"/>
      <c r="E94" s="1191"/>
      <c r="F94" s="1191"/>
      <c r="G94" s="1191"/>
      <c r="H94" s="1191"/>
      <c r="I94" s="1192"/>
      <c r="J94" s="418">
        <v>0</v>
      </c>
      <c r="K94" s="246">
        <f t="shared" si="5"/>
        <v>0</v>
      </c>
      <c r="L94" s="29"/>
      <c r="M94" s="31"/>
      <c r="N94" s="503"/>
      <c r="O94" s="504"/>
      <c r="P94" s="504"/>
      <c r="Q94" s="504"/>
      <c r="R94" s="504"/>
    </row>
    <row r="95" spans="2:18" s="17" customFormat="1">
      <c r="B95" s="243" t="s">
        <v>12</v>
      </c>
      <c r="C95" s="1190" t="s">
        <v>286</v>
      </c>
      <c r="D95" s="1191"/>
      <c r="E95" s="1191"/>
      <c r="F95" s="1191"/>
      <c r="G95" s="1191"/>
      <c r="H95" s="1191"/>
      <c r="I95" s="1192"/>
      <c r="J95" s="418">
        <v>0</v>
      </c>
      <c r="K95" s="246">
        <f t="shared" si="5"/>
        <v>0</v>
      </c>
      <c r="L95" s="29"/>
      <c r="M95" s="31"/>
      <c r="N95" s="503"/>
      <c r="O95" s="504"/>
      <c r="P95" s="504"/>
      <c r="Q95" s="504"/>
      <c r="R95" s="504"/>
    </row>
    <row r="96" spans="2:18" s="17" customFormat="1" ht="13.5" customHeight="1">
      <c r="B96" s="1055" t="s">
        <v>17</v>
      </c>
      <c r="C96" s="1056"/>
      <c r="D96" s="1056"/>
      <c r="E96" s="1056"/>
      <c r="F96" s="1056"/>
      <c r="G96" s="1056"/>
      <c r="H96" s="1056"/>
      <c r="I96" s="1057"/>
      <c r="J96" s="259">
        <f>SUM(J90:J95)</f>
        <v>8.8333333333333333E-2</v>
      </c>
      <c r="K96" s="260">
        <f>SUM(K90:K95)</f>
        <v>214.07520911111109</v>
      </c>
      <c r="L96" s="29"/>
      <c r="M96" s="31"/>
      <c r="N96" s="503"/>
      <c r="O96" s="504"/>
      <c r="P96" s="504"/>
      <c r="Q96" s="504"/>
      <c r="R96" s="504"/>
    </row>
    <row r="97" spans="2:18" s="17" customFormat="1">
      <c r="B97" s="1165"/>
      <c r="C97" s="1160"/>
      <c r="D97" s="1160"/>
      <c r="E97" s="1160"/>
      <c r="F97" s="1160"/>
      <c r="G97" s="1160"/>
      <c r="H97" s="1160"/>
      <c r="I97" s="1160"/>
      <c r="J97" s="1160"/>
      <c r="K97" s="1161"/>
      <c r="L97" s="29"/>
      <c r="N97" s="503"/>
      <c r="O97" s="504"/>
      <c r="P97" s="504"/>
      <c r="Q97" s="504"/>
      <c r="R97" s="504"/>
    </row>
    <row r="98" spans="2:18" s="17" customFormat="1">
      <c r="B98" s="1055" t="s">
        <v>289</v>
      </c>
      <c r="C98" s="1056"/>
      <c r="D98" s="1056"/>
      <c r="E98" s="1056"/>
      <c r="F98" s="1056"/>
      <c r="G98" s="1056"/>
      <c r="H98" s="1056"/>
      <c r="I98" s="1056"/>
      <c r="J98" s="1057"/>
      <c r="K98" s="502" t="s">
        <v>1</v>
      </c>
      <c r="L98" s="29"/>
      <c r="N98" s="503"/>
      <c r="O98" s="504"/>
      <c r="P98" s="504"/>
      <c r="Q98" s="504"/>
      <c r="R98" s="504"/>
    </row>
    <row r="99" spans="2:18" s="17" customFormat="1">
      <c r="B99" s="489" t="s">
        <v>7</v>
      </c>
      <c r="C99" s="1038" t="s">
        <v>67</v>
      </c>
      <c r="D99" s="1039"/>
      <c r="E99" s="1039"/>
      <c r="F99" s="1039"/>
      <c r="G99" s="1039"/>
      <c r="H99" s="1039"/>
      <c r="I99" s="1039"/>
      <c r="J99" s="1040"/>
      <c r="K99" s="242">
        <f>((K33+K34)/220)*1.5*15</f>
        <v>203.7182727272727</v>
      </c>
      <c r="L99" s="29"/>
      <c r="N99" s="503"/>
      <c r="O99" s="504"/>
      <c r="P99" s="504"/>
      <c r="Q99" s="504"/>
      <c r="R99" s="504"/>
    </row>
    <row r="100" spans="2:18" s="17" customFormat="1">
      <c r="B100" s="1055" t="s">
        <v>257</v>
      </c>
      <c r="C100" s="1056"/>
      <c r="D100" s="1056"/>
      <c r="E100" s="1056"/>
      <c r="F100" s="1056"/>
      <c r="G100" s="1056"/>
      <c r="H100" s="1056"/>
      <c r="I100" s="1056"/>
      <c r="J100" s="1057"/>
      <c r="K100" s="260">
        <f>K99</f>
        <v>203.7182727272727</v>
      </c>
      <c r="L100" s="29"/>
      <c r="N100" s="503"/>
      <c r="O100" s="504"/>
      <c r="P100" s="504"/>
      <c r="Q100" s="504"/>
      <c r="R100" s="504"/>
    </row>
    <row r="101" spans="2:18" s="17" customFormat="1">
      <c r="B101" s="490"/>
      <c r="C101" s="487"/>
      <c r="D101" s="487"/>
      <c r="E101" s="487"/>
      <c r="F101" s="487"/>
      <c r="G101" s="487"/>
      <c r="H101" s="487"/>
      <c r="I101" s="487"/>
      <c r="J101" s="487"/>
      <c r="K101" s="488"/>
      <c r="L101" s="29"/>
      <c r="N101" s="503"/>
      <c r="O101" s="504"/>
      <c r="P101" s="504"/>
      <c r="Q101" s="504"/>
      <c r="R101" s="504"/>
    </row>
    <row r="102" spans="2:18" s="17" customFormat="1">
      <c r="B102" s="1055" t="s">
        <v>65</v>
      </c>
      <c r="C102" s="1056"/>
      <c r="D102" s="1056"/>
      <c r="E102" s="1056"/>
      <c r="F102" s="1056"/>
      <c r="G102" s="1056"/>
      <c r="H102" s="1056"/>
      <c r="I102" s="1056"/>
      <c r="J102" s="1056"/>
      <c r="K102" s="1057"/>
      <c r="L102" s="29"/>
      <c r="N102" s="503"/>
      <c r="O102" s="504"/>
      <c r="P102" s="504"/>
      <c r="Q102" s="504"/>
      <c r="R102" s="504"/>
    </row>
    <row r="103" spans="2:18" s="17" customFormat="1">
      <c r="B103" s="1055" t="s">
        <v>66</v>
      </c>
      <c r="C103" s="1056"/>
      <c r="D103" s="1056"/>
      <c r="E103" s="1056"/>
      <c r="F103" s="1056"/>
      <c r="G103" s="1056"/>
      <c r="H103" s="1056"/>
      <c r="I103" s="1056"/>
      <c r="J103" s="1057"/>
      <c r="K103" s="502" t="s">
        <v>1</v>
      </c>
      <c r="L103" s="29">
        <v>21.6</v>
      </c>
      <c r="N103" s="503"/>
      <c r="O103" s="504"/>
      <c r="P103" s="504"/>
      <c r="Q103" s="504"/>
      <c r="R103" s="504"/>
    </row>
    <row r="104" spans="2:18" s="17" customFormat="1">
      <c r="B104" s="489" t="s">
        <v>19</v>
      </c>
      <c r="C104" s="1038" t="s">
        <v>64</v>
      </c>
      <c r="D104" s="1039"/>
      <c r="E104" s="1039"/>
      <c r="F104" s="1039"/>
      <c r="G104" s="1039"/>
      <c r="H104" s="1039"/>
      <c r="I104" s="1039"/>
      <c r="J104" s="1040"/>
      <c r="K104" s="242">
        <f>K96</f>
        <v>214.07520911111109</v>
      </c>
      <c r="L104" s="29"/>
      <c r="N104" s="503"/>
      <c r="O104" s="504"/>
      <c r="P104" s="504"/>
      <c r="Q104" s="504"/>
      <c r="R104" s="504"/>
    </row>
    <row r="105" spans="2:18" s="17" customFormat="1">
      <c r="B105" s="243" t="s">
        <v>20</v>
      </c>
      <c r="C105" s="1038" t="s">
        <v>67</v>
      </c>
      <c r="D105" s="1039"/>
      <c r="E105" s="1039"/>
      <c r="F105" s="1039"/>
      <c r="G105" s="1039"/>
      <c r="H105" s="1039"/>
      <c r="I105" s="1039"/>
      <c r="J105" s="1040"/>
      <c r="K105" s="253">
        <f>((K33+K34)/220)*1.5*15</f>
        <v>203.7182727272727</v>
      </c>
      <c r="L105" s="29"/>
      <c r="N105" s="503"/>
      <c r="O105" s="504"/>
      <c r="P105" s="504"/>
      <c r="Q105" s="504"/>
      <c r="R105" s="504"/>
    </row>
    <row r="106" spans="2:18" s="17" customFormat="1">
      <c r="B106" s="1162" t="s">
        <v>68</v>
      </c>
      <c r="C106" s="1163"/>
      <c r="D106" s="1163"/>
      <c r="E106" s="1163"/>
      <c r="F106" s="1163"/>
      <c r="G106" s="1163"/>
      <c r="H106" s="1163"/>
      <c r="I106" s="1163"/>
      <c r="J106" s="1164"/>
      <c r="K106" s="249">
        <f>TRUNC(SUM(K104:K105),2)</f>
        <v>417.79</v>
      </c>
      <c r="L106" s="29"/>
      <c r="N106" s="503"/>
      <c r="O106" s="504"/>
      <c r="P106" s="504"/>
      <c r="Q106" s="504"/>
      <c r="R106" s="504"/>
    </row>
    <row r="107" spans="2:18" s="17" customFormat="1">
      <c r="B107" s="1055" t="s">
        <v>99</v>
      </c>
      <c r="C107" s="1056"/>
      <c r="D107" s="1056"/>
      <c r="E107" s="1056"/>
      <c r="F107" s="1056"/>
      <c r="G107" s="1056"/>
      <c r="H107" s="1056"/>
      <c r="I107" s="1057"/>
      <c r="J107" s="259">
        <f>J96+J86+J60+J49</f>
        <v>0.70690166666666665</v>
      </c>
      <c r="K107" s="520">
        <f>K96+K86+K60+K49</f>
        <v>1713.1622353511111</v>
      </c>
      <c r="L107" s="29"/>
      <c r="N107" s="503"/>
      <c r="O107" s="504"/>
      <c r="P107" s="504"/>
      <c r="Q107" s="504"/>
      <c r="R107" s="504"/>
    </row>
    <row r="108" spans="2:18" s="17" customFormat="1">
      <c r="B108" s="1165"/>
      <c r="C108" s="1160"/>
      <c r="D108" s="1160"/>
      <c r="E108" s="1160"/>
      <c r="F108" s="1160"/>
      <c r="G108" s="1160"/>
      <c r="H108" s="1160"/>
      <c r="I108" s="1160"/>
      <c r="J108" s="1160"/>
      <c r="K108" s="1161"/>
      <c r="L108" s="29"/>
      <c r="N108" s="503"/>
      <c r="O108" s="504"/>
      <c r="P108" s="504"/>
      <c r="Q108" s="504"/>
      <c r="R108" s="504"/>
    </row>
    <row r="109" spans="2:18" s="17" customFormat="1">
      <c r="B109" s="1055" t="s">
        <v>69</v>
      </c>
      <c r="C109" s="1056"/>
      <c r="D109" s="1056"/>
      <c r="E109" s="1056"/>
      <c r="F109" s="1056"/>
      <c r="G109" s="1056"/>
      <c r="H109" s="1056"/>
      <c r="I109" s="1056"/>
      <c r="J109" s="1056"/>
      <c r="K109" s="1057"/>
      <c r="L109" s="29"/>
      <c r="N109" s="503"/>
      <c r="O109" s="504"/>
      <c r="P109" s="504"/>
      <c r="Q109" s="504"/>
      <c r="R109" s="504"/>
    </row>
    <row r="110" spans="2:18" s="17" customFormat="1">
      <c r="B110" s="502">
        <v>5</v>
      </c>
      <c r="C110" s="1055" t="s">
        <v>16</v>
      </c>
      <c r="D110" s="1056"/>
      <c r="E110" s="1056"/>
      <c r="F110" s="1056"/>
      <c r="G110" s="1056"/>
      <c r="H110" s="1056"/>
      <c r="I110" s="1056"/>
      <c r="J110" s="1057"/>
      <c r="K110" s="502" t="s">
        <v>1</v>
      </c>
      <c r="L110" s="29"/>
      <c r="N110" s="503"/>
      <c r="O110" s="504"/>
      <c r="P110" s="504"/>
      <c r="Q110" s="504"/>
      <c r="R110" s="504"/>
    </row>
    <row r="111" spans="2:18" s="17" customFormat="1">
      <c r="B111" s="489" t="s">
        <v>7</v>
      </c>
      <c r="C111" s="1038" t="s">
        <v>107</v>
      </c>
      <c r="D111" s="1039"/>
      <c r="E111" s="1039"/>
      <c r="F111" s="1039"/>
      <c r="G111" s="1039"/>
      <c r="H111" s="1039"/>
      <c r="I111" s="1040"/>
      <c r="J111" s="238" t="s">
        <v>0</v>
      </c>
      <c r="K111" s="242">
        <f>R20</f>
        <v>68.366666666666674</v>
      </c>
      <c r="L111" s="29"/>
      <c r="N111" s="503"/>
      <c r="O111" s="504"/>
      <c r="P111" s="504"/>
      <c r="Q111" s="504"/>
      <c r="R111" s="504"/>
    </row>
    <row r="112" spans="2:18" s="17" customFormat="1">
      <c r="B112" s="489" t="s">
        <v>8</v>
      </c>
      <c r="C112" s="1038" t="s">
        <v>191</v>
      </c>
      <c r="D112" s="1039"/>
      <c r="E112" s="1039"/>
      <c r="F112" s="1039"/>
      <c r="G112" s="1039"/>
      <c r="H112" s="1039"/>
      <c r="I112" s="1040"/>
      <c r="J112" s="238" t="s">
        <v>0</v>
      </c>
      <c r="K112" s="242">
        <f>R30+R36</f>
        <v>42.233333333333334</v>
      </c>
      <c r="L112" s="29"/>
      <c r="N112" s="503"/>
      <c r="O112" s="504"/>
      <c r="P112" s="504"/>
      <c r="Q112" s="504"/>
      <c r="R112" s="504"/>
    </row>
    <row r="113" spans="2:19" s="17" customFormat="1">
      <c r="B113" s="250" t="s">
        <v>9</v>
      </c>
      <c r="C113" s="1038" t="s">
        <v>192</v>
      </c>
      <c r="D113" s="1039"/>
      <c r="E113" s="1039"/>
      <c r="F113" s="1039"/>
      <c r="G113" s="1039"/>
      <c r="H113" s="1039"/>
      <c r="I113" s="1040"/>
      <c r="J113" s="238" t="s">
        <v>0</v>
      </c>
      <c r="K113" s="242">
        <v>0</v>
      </c>
      <c r="L113" s="29"/>
      <c r="N113" s="503"/>
      <c r="O113" s="504"/>
      <c r="P113" s="504"/>
      <c r="Q113" s="504"/>
      <c r="R113" s="504"/>
    </row>
    <row r="114" spans="2:19" s="17" customFormat="1">
      <c r="B114" s="1208" t="s">
        <v>70</v>
      </c>
      <c r="C114" s="1209"/>
      <c r="D114" s="1209"/>
      <c r="E114" s="1209"/>
      <c r="F114" s="1209"/>
      <c r="G114" s="1209"/>
      <c r="H114" s="1209"/>
      <c r="I114" s="1210"/>
      <c r="J114" s="419" t="s">
        <v>0</v>
      </c>
      <c r="K114" s="415">
        <f>TRUNC(SUM(K111:K113),2)</f>
        <v>110.6</v>
      </c>
      <c r="L114" s="29"/>
      <c r="N114" s="503"/>
      <c r="O114" s="504"/>
      <c r="P114" s="504"/>
      <c r="Q114" s="504"/>
      <c r="R114" s="504"/>
    </row>
    <row r="115" spans="2:19" s="17" customFormat="1">
      <c r="B115" s="1211" t="s">
        <v>71</v>
      </c>
      <c r="C115" s="1212"/>
      <c r="D115" s="1212"/>
      <c r="E115" s="1212"/>
      <c r="F115" s="1212"/>
      <c r="G115" s="1212"/>
      <c r="H115" s="1212"/>
      <c r="I115" s="1212"/>
      <c r="J115" s="1212"/>
      <c r="K115" s="1213"/>
      <c r="L115" s="29"/>
      <c r="N115" s="503"/>
      <c r="O115" s="504"/>
      <c r="P115" s="504"/>
      <c r="Q115" s="504"/>
      <c r="R115" s="504"/>
      <c r="S115" s="128"/>
    </row>
    <row r="116" spans="2:19" s="17" customFormat="1">
      <c r="B116" s="489">
        <v>6</v>
      </c>
      <c r="C116" s="1214" t="s">
        <v>18</v>
      </c>
      <c r="D116" s="1215"/>
      <c r="E116" s="1215"/>
      <c r="F116" s="1215"/>
      <c r="G116" s="1215"/>
      <c r="H116" s="1215"/>
      <c r="I116" s="1216"/>
      <c r="J116" s="489" t="s">
        <v>3</v>
      </c>
      <c r="K116" s="489" t="s">
        <v>1</v>
      </c>
      <c r="N116" s="503"/>
      <c r="O116" s="504"/>
      <c r="P116" s="504"/>
      <c r="Q116" s="504"/>
      <c r="R116" s="504"/>
    </row>
    <row r="117" spans="2:19" s="17" customFormat="1">
      <c r="B117" s="489" t="s">
        <v>7</v>
      </c>
      <c r="C117" s="1190" t="s">
        <v>21</v>
      </c>
      <c r="D117" s="1191"/>
      <c r="E117" s="1191"/>
      <c r="F117" s="1191"/>
      <c r="G117" s="1191"/>
      <c r="H117" s="1191"/>
      <c r="I117" s="1192"/>
      <c r="J117" s="411" t="e">
        <f>#REF!</f>
        <v>#REF!</v>
      </c>
      <c r="K117" s="355" t="e">
        <f>TRUNC(J117*K142,2)</f>
        <v>#REF!</v>
      </c>
      <c r="L117" s="25"/>
      <c r="N117" s="503"/>
      <c r="O117" s="504"/>
      <c r="P117" s="504"/>
      <c r="Q117" s="504"/>
      <c r="R117" s="504"/>
    </row>
    <row r="118" spans="2:19" s="17" customFormat="1">
      <c r="B118" s="243" t="s">
        <v>8</v>
      </c>
      <c r="C118" s="1190" t="s">
        <v>4</v>
      </c>
      <c r="D118" s="1191"/>
      <c r="E118" s="1191"/>
      <c r="F118" s="1191"/>
      <c r="G118" s="1191"/>
      <c r="H118" s="1191"/>
      <c r="I118" s="1192"/>
      <c r="J118" s="411" t="e">
        <f>#REF!</f>
        <v>#REF!</v>
      </c>
      <c r="K118" s="355" t="e">
        <f>TRUNC(J118*(K117+K142),2)</f>
        <v>#REF!</v>
      </c>
      <c r="N118" s="503"/>
      <c r="O118" s="504"/>
      <c r="P118" s="504"/>
      <c r="Q118" s="504"/>
      <c r="R118" s="504"/>
    </row>
    <row r="119" spans="2:19" s="17" customFormat="1">
      <c r="B119" s="500" t="s">
        <v>9</v>
      </c>
      <c r="C119" s="1086" t="s">
        <v>28</v>
      </c>
      <c r="D119" s="1087"/>
      <c r="E119" s="1087"/>
      <c r="F119" s="1087"/>
      <c r="G119" s="1087"/>
      <c r="H119" s="1087"/>
      <c r="I119" s="1087"/>
      <c r="J119" s="1087"/>
      <c r="K119" s="1217"/>
      <c r="L119" s="25">
        <f>K147</f>
        <v>1</v>
      </c>
      <c r="M119" s="16" t="e">
        <f>[1]RESUMO!#REF!</f>
        <v>#REF!</v>
      </c>
      <c r="N119" s="503"/>
      <c r="O119" s="504"/>
      <c r="P119" s="504"/>
      <c r="Q119" s="504"/>
      <c r="R119" s="504"/>
    </row>
    <row r="120" spans="2:19" s="17" customFormat="1">
      <c r="B120" s="243" t="s">
        <v>29</v>
      </c>
      <c r="C120" s="1190" t="s">
        <v>82</v>
      </c>
      <c r="D120" s="1191"/>
      <c r="E120" s="1191"/>
      <c r="F120" s="1191"/>
      <c r="G120" s="1191"/>
      <c r="H120" s="1191"/>
      <c r="I120" s="1192"/>
      <c r="J120" s="245">
        <v>6.4999999999999997E-3</v>
      </c>
      <c r="K120" s="426" t="e">
        <f>TRUNC(J120*K131,2)</f>
        <v>#REF!</v>
      </c>
      <c r="N120" s="503"/>
      <c r="O120" s="504"/>
      <c r="P120" s="504"/>
      <c r="Q120" s="504"/>
      <c r="R120" s="504"/>
    </row>
    <row r="121" spans="2:19" s="17" customFormat="1">
      <c r="B121" s="243" t="s">
        <v>29</v>
      </c>
      <c r="C121" s="1190" t="s">
        <v>77</v>
      </c>
      <c r="D121" s="1191"/>
      <c r="E121" s="1191"/>
      <c r="F121" s="1191"/>
      <c r="G121" s="1191"/>
      <c r="H121" s="1191"/>
      <c r="I121" s="1192"/>
      <c r="J121" s="245">
        <v>0.03</v>
      </c>
      <c r="K121" s="426" t="e">
        <f>TRUNC(J121*K131,2)</f>
        <v>#REF!</v>
      </c>
      <c r="N121" s="503"/>
      <c r="O121" s="504"/>
      <c r="P121" s="504"/>
      <c r="Q121" s="504"/>
      <c r="R121" s="504"/>
    </row>
    <row r="122" spans="2:19" s="17" customFormat="1">
      <c r="B122" s="243" t="s">
        <v>30</v>
      </c>
      <c r="C122" s="1190" t="s">
        <v>80</v>
      </c>
      <c r="D122" s="1191"/>
      <c r="E122" s="1191"/>
      <c r="F122" s="1191"/>
      <c r="G122" s="1191"/>
      <c r="H122" s="1191"/>
      <c r="I122" s="1192"/>
      <c r="J122" s="247" t="s">
        <v>79</v>
      </c>
      <c r="K122" s="426">
        <v>0</v>
      </c>
      <c r="N122" s="503"/>
      <c r="O122" s="504"/>
      <c r="P122" s="504"/>
      <c r="Q122" s="504"/>
      <c r="R122" s="504"/>
      <c r="S122" s="127"/>
    </row>
    <row r="123" spans="2:19" s="17" customFormat="1">
      <c r="B123" s="243" t="s">
        <v>31</v>
      </c>
      <c r="C123" s="1190" t="s">
        <v>78</v>
      </c>
      <c r="D123" s="1191"/>
      <c r="E123" s="1191"/>
      <c r="F123" s="1191"/>
      <c r="G123" s="1191"/>
      <c r="H123" s="1191"/>
      <c r="I123" s="1192"/>
      <c r="J123" s="245">
        <v>0.05</v>
      </c>
      <c r="K123" s="426" t="e">
        <f>TRUNC(J123*K131,2)</f>
        <v>#REF!</v>
      </c>
      <c r="N123" s="503"/>
      <c r="O123" s="504"/>
      <c r="P123" s="504"/>
      <c r="Q123" s="504"/>
      <c r="R123" s="504"/>
    </row>
    <row r="124" spans="2:19" s="17" customFormat="1">
      <c r="B124" s="1205" t="s">
        <v>72</v>
      </c>
      <c r="C124" s="1206"/>
      <c r="D124" s="1206"/>
      <c r="E124" s="1206"/>
      <c r="F124" s="1206"/>
      <c r="G124" s="1206"/>
      <c r="H124" s="1206"/>
      <c r="I124" s="1207"/>
      <c r="J124" s="420" t="e">
        <f>SUM(J117:J123)</f>
        <v>#REF!</v>
      </c>
      <c r="K124" s="523" t="e">
        <f>TRUNC(SUM(K117:K123),2)</f>
        <v>#REF!</v>
      </c>
      <c r="N124" s="503"/>
      <c r="O124" s="504"/>
      <c r="P124" s="504"/>
      <c r="Q124" s="504"/>
      <c r="R124" s="504"/>
    </row>
    <row r="125" spans="2:19" s="17" customFormat="1">
      <c r="B125" s="291"/>
      <c r="C125" s="487"/>
      <c r="D125" s="1039"/>
      <c r="E125" s="1039"/>
      <c r="F125" s="1039"/>
      <c r="G125" s="1039"/>
      <c r="H125" s="1039"/>
      <c r="I125" s="1039"/>
      <c r="J125" s="1039"/>
      <c r="K125" s="1040"/>
      <c r="M125" s="21"/>
      <c r="N125" s="503"/>
      <c r="O125" s="504"/>
      <c r="P125" s="504"/>
      <c r="Q125" s="504"/>
      <c r="R125" s="504"/>
    </row>
    <row r="126" spans="2:19" s="17" customFormat="1">
      <c r="B126" s="300" t="s">
        <v>32</v>
      </c>
      <c r="C126" s="301"/>
      <c r="D126" s="1071" t="s">
        <v>33</v>
      </c>
      <c r="E126" s="1071"/>
      <c r="F126" s="1071"/>
      <c r="G126" s="1071"/>
      <c r="H126" s="1071"/>
      <c r="I126" s="1072"/>
      <c r="J126" s="1073">
        <f>TRUNC(J120+J121+J123,4)</f>
        <v>8.6499999999999994E-2</v>
      </c>
      <c r="K126" s="1074"/>
      <c r="N126" s="503"/>
      <c r="O126" s="504"/>
      <c r="P126" s="504"/>
      <c r="Q126" s="504"/>
      <c r="R126" s="504"/>
    </row>
    <row r="127" spans="2:19" s="17" customFormat="1">
      <c r="B127" s="233"/>
      <c r="C127" s="302"/>
      <c r="D127" s="1077">
        <v>100</v>
      </c>
      <c r="E127" s="1077"/>
      <c r="F127" s="1077"/>
      <c r="G127" s="1077"/>
      <c r="H127" s="1077"/>
      <c r="I127" s="1221"/>
      <c r="J127" s="1075"/>
      <c r="K127" s="1076"/>
      <c r="M127" s="34"/>
      <c r="N127" s="503"/>
      <c r="O127" s="504"/>
      <c r="P127" s="504"/>
      <c r="Q127" s="504"/>
      <c r="R127" s="504"/>
    </row>
    <row r="128" spans="2:19" s="17" customFormat="1">
      <c r="B128" s="311"/>
      <c r="C128" s="310"/>
      <c r="D128" s="496"/>
      <c r="E128" s="496"/>
      <c r="F128" s="496"/>
      <c r="G128" s="496"/>
      <c r="H128" s="496"/>
      <c r="I128" s="497"/>
      <c r="J128" s="498"/>
      <c r="K128" s="413"/>
      <c r="N128" s="503"/>
      <c r="O128" s="504"/>
      <c r="P128" s="504"/>
      <c r="Q128" s="504"/>
      <c r="R128" s="504"/>
    </row>
    <row r="129" spans="2:18" s="17" customFormat="1">
      <c r="B129" s="233" t="s">
        <v>34</v>
      </c>
      <c r="C129" s="302"/>
      <c r="D129" s="1078" t="s">
        <v>73</v>
      </c>
      <c r="E129" s="1078"/>
      <c r="F129" s="1078"/>
      <c r="G129" s="1078"/>
      <c r="H129" s="1078"/>
      <c r="I129" s="1079"/>
      <c r="J129" s="499"/>
      <c r="K129" s="429" t="e">
        <f>TRUNC(K142+K117+K118,2)</f>
        <v>#REF!</v>
      </c>
      <c r="N129" s="503"/>
      <c r="O129" s="504"/>
      <c r="P129" s="504"/>
      <c r="Q129" s="504"/>
      <c r="R129" s="504"/>
    </row>
    <row r="130" spans="2:18" s="17" customFormat="1">
      <c r="B130" s="300"/>
      <c r="C130" s="301"/>
      <c r="D130" s="496"/>
      <c r="E130" s="496"/>
      <c r="F130" s="496"/>
      <c r="G130" s="496"/>
      <c r="H130" s="496"/>
      <c r="I130" s="497"/>
      <c r="J130" s="498"/>
      <c r="K130" s="414"/>
      <c r="N130" s="503"/>
      <c r="O130" s="504"/>
      <c r="P130" s="504"/>
      <c r="Q130" s="504"/>
      <c r="R130" s="504"/>
    </row>
    <row r="131" spans="2:18" s="17" customFormat="1">
      <c r="B131" s="233" t="s">
        <v>35</v>
      </c>
      <c r="C131" s="302"/>
      <c r="D131" s="1078" t="s">
        <v>36</v>
      </c>
      <c r="E131" s="1078"/>
      <c r="F131" s="1078"/>
      <c r="G131" s="1078"/>
      <c r="H131" s="1078"/>
      <c r="I131" s="1079"/>
      <c r="J131" s="499"/>
      <c r="K131" s="429" t="e">
        <f>K129/(1-J126)</f>
        <v>#REF!</v>
      </c>
      <c r="M131" s="34"/>
      <c r="N131" s="503"/>
      <c r="O131" s="504"/>
      <c r="P131" s="504"/>
      <c r="Q131" s="504"/>
      <c r="R131" s="504"/>
    </row>
    <row r="132" spans="2:18" s="17" customFormat="1">
      <c r="B132" s="492"/>
      <c r="C132" s="301"/>
      <c r="D132" s="496"/>
      <c r="E132" s="496"/>
      <c r="F132" s="496"/>
      <c r="G132" s="496"/>
      <c r="H132" s="496"/>
      <c r="I132" s="497"/>
      <c r="J132" s="498"/>
      <c r="K132" s="414"/>
      <c r="M132" s="34"/>
      <c r="N132" s="503"/>
      <c r="O132" s="504"/>
      <c r="P132" s="504"/>
      <c r="Q132" s="504"/>
      <c r="R132" s="504"/>
    </row>
    <row r="133" spans="2:18" s="17" customFormat="1">
      <c r="B133" s="291"/>
      <c r="C133" s="302"/>
      <c r="D133" s="1078" t="s">
        <v>37</v>
      </c>
      <c r="E133" s="1078"/>
      <c r="F133" s="1078"/>
      <c r="G133" s="1078"/>
      <c r="H133" s="1078"/>
      <c r="I133" s="1079"/>
      <c r="J133" s="499"/>
      <c r="K133" s="429" t="e">
        <f>TRUNC(K131-K129,2)</f>
        <v>#REF!</v>
      </c>
      <c r="N133" s="503"/>
      <c r="O133" s="504"/>
      <c r="P133" s="504"/>
      <c r="Q133" s="504"/>
      <c r="R133" s="504"/>
    </row>
    <row r="134" spans="2:18" s="17" customFormat="1">
      <c r="B134" s="291"/>
      <c r="C134" s="487"/>
      <c r="D134" s="487"/>
      <c r="E134" s="487"/>
      <c r="F134" s="487"/>
      <c r="G134" s="487"/>
      <c r="H134" s="487"/>
      <c r="I134" s="487"/>
      <c r="J134" s="487"/>
      <c r="K134" s="295"/>
      <c r="M134" s="21"/>
      <c r="N134" s="503"/>
      <c r="O134" s="504"/>
      <c r="P134" s="504"/>
      <c r="Q134" s="504"/>
      <c r="R134" s="504"/>
    </row>
    <row r="135" spans="2:18" s="17" customFormat="1">
      <c r="B135" s="1086" t="s">
        <v>83</v>
      </c>
      <c r="C135" s="1087"/>
      <c r="D135" s="1087"/>
      <c r="E135" s="1087"/>
      <c r="F135" s="1087"/>
      <c r="G135" s="1087"/>
      <c r="H135" s="1087"/>
      <c r="I135" s="1087"/>
      <c r="J135" s="1087"/>
      <c r="K135" s="1217"/>
      <c r="N135" s="503"/>
      <c r="O135" s="504"/>
      <c r="P135" s="504"/>
      <c r="Q135" s="504"/>
      <c r="R135" s="504"/>
    </row>
    <row r="136" spans="2:18" s="17" customFormat="1">
      <c r="B136" s="1218" t="s">
        <v>22</v>
      </c>
      <c r="C136" s="1219"/>
      <c r="D136" s="1219"/>
      <c r="E136" s="1219"/>
      <c r="F136" s="1219"/>
      <c r="G136" s="1219"/>
      <c r="H136" s="1219"/>
      <c r="I136" s="1219"/>
      <c r="J136" s="1220"/>
      <c r="K136" s="500" t="s">
        <v>1</v>
      </c>
      <c r="N136" s="503"/>
      <c r="O136" s="504"/>
      <c r="P136" s="504"/>
      <c r="Q136" s="504"/>
      <c r="R136" s="504"/>
    </row>
    <row r="137" spans="2:18" s="17" customFormat="1">
      <c r="B137" s="238" t="s">
        <v>7</v>
      </c>
      <c r="C137" s="1190" t="str">
        <f>B31</f>
        <v>MÓDULO 1 - COMPOSIÇÃO DA REMUNERAÇÃO</v>
      </c>
      <c r="D137" s="1191"/>
      <c r="E137" s="1191"/>
      <c r="F137" s="1191"/>
      <c r="G137" s="1191"/>
      <c r="H137" s="1191"/>
      <c r="I137" s="1191"/>
      <c r="J137" s="1192"/>
      <c r="K137" s="355">
        <f>K42</f>
        <v>2423.4929333333334</v>
      </c>
      <c r="N137" s="503"/>
      <c r="O137" s="504"/>
      <c r="P137" s="504"/>
      <c r="Q137" s="504"/>
      <c r="R137" s="504"/>
    </row>
    <row r="138" spans="2:18" s="17" customFormat="1">
      <c r="B138" s="240" t="s">
        <v>8</v>
      </c>
      <c r="C138" s="1190" t="str">
        <f>B45</f>
        <v>MÓDULO 2 – ENCARGOS E BENEFÍCIOS ANUAIS, MENSAIS E DIÁRIOS</v>
      </c>
      <c r="D138" s="1191"/>
      <c r="E138" s="1191"/>
      <c r="F138" s="1191"/>
      <c r="G138" s="1191"/>
      <c r="H138" s="1191"/>
      <c r="I138" s="1191"/>
      <c r="J138" s="1192"/>
      <c r="K138" s="426">
        <f>K77</f>
        <v>1451.26</v>
      </c>
      <c r="N138" s="503">
        <v>5218.5</v>
      </c>
      <c r="O138" s="504"/>
      <c r="P138" s="504"/>
      <c r="Q138" s="504"/>
      <c r="R138" s="504"/>
    </row>
    <row r="139" spans="2:18" s="17" customFormat="1">
      <c r="B139" s="240" t="s">
        <v>9</v>
      </c>
      <c r="C139" s="1190" t="str">
        <f>B78</f>
        <v>MÓDULO 3 – PROVISÃO PARA RESCISÃO</v>
      </c>
      <c r="D139" s="1191"/>
      <c r="E139" s="1191"/>
      <c r="F139" s="1191"/>
      <c r="G139" s="1191"/>
      <c r="H139" s="1191"/>
      <c r="I139" s="1191"/>
      <c r="J139" s="1192"/>
      <c r="K139" s="426">
        <f>K86</f>
        <v>172.47</v>
      </c>
      <c r="N139" s="503">
        <f>N138*2</f>
        <v>10437</v>
      </c>
      <c r="O139" s="504">
        <v>10437</v>
      </c>
      <c r="P139" s="504"/>
      <c r="Q139" s="504"/>
      <c r="R139" s="504"/>
    </row>
    <row r="140" spans="2:18" s="17" customFormat="1">
      <c r="B140" s="238" t="s">
        <v>10</v>
      </c>
      <c r="C140" s="1190" t="str">
        <f>B88</f>
        <v>MÓDULO 4 – CUSTO DE REPOSIÇÃO DO PROFISSIONAL AUSENTE</v>
      </c>
      <c r="D140" s="1191"/>
      <c r="E140" s="1191"/>
      <c r="F140" s="1191"/>
      <c r="G140" s="1191"/>
      <c r="H140" s="1191"/>
      <c r="I140" s="1191"/>
      <c r="J140" s="1192"/>
      <c r="K140" s="426">
        <f>K106</f>
        <v>417.79</v>
      </c>
      <c r="N140" s="503">
        <f>N139*2</f>
        <v>20874</v>
      </c>
      <c r="O140" s="504"/>
      <c r="P140" s="504"/>
      <c r="Q140" s="504"/>
      <c r="R140" s="504"/>
    </row>
    <row r="141" spans="2:18" s="17" customFormat="1" ht="15.75" thickBot="1">
      <c r="B141" s="424" t="s">
        <v>11</v>
      </c>
      <c r="C141" s="1222" t="str">
        <f>B109</f>
        <v>MÓDULO 5 – INSUMOS DIVERSOS</v>
      </c>
      <c r="D141" s="1223"/>
      <c r="E141" s="1223"/>
      <c r="F141" s="1223"/>
      <c r="G141" s="1223"/>
      <c r="H141" s="1223"/>
      <c r="I141" s="1223"/>
      <c r="J141" s="1224"/>
      <c r="K141" s="427">
        <f>K114</f>
        <v>110.6</v>
      </c>
      <c r="N141" s="503">
        <f>N140*12</f>
        <v>250488</v>
      </c>
      <c r="O141" s="504"/>
      <c r="P141" s="504"/>
      <c r="Q141" s="504"/>
      <c r="R141" s="504"/>
    </row>
    <row r="142" spans="2:18" s="17" customFormat="1">
      <c r="B142" s="1225" t="s">
        <v>74</v>
      </c>
      <c r="C142" s="1226"/>
      <c r="D142" s="1226"/>
      <c r="E142" s="1226"/>
      <c r="F142" s="1226"/>
      <c r="G142" s="1226"/>
      <c r="H142" s="1226"/>
      <c r="I142" s="1226"/>
      <c r="J142" s="1227"/>
      <c r="K142" s="430">
        <f>TRUNC(SUM(K137:K141),2)</f>
        <v>4575.6099999999997</v>
      </c>
      <c r="L142" s="16"/>
      <c r="M142" s="34">
        <v>4822.8100000000004</v>
      </c>
      <c r="N142" s="503"/>
      <c r="O142" s="504"/>
      <c r="P142" s="504"/>
      <c r="Q142" s="504"/>
      <c r="R142" s="504"/>
    </row>
    <row r="143" spans="2:18" s="17" customFormat="1" ht="15.75" thickBot="1">
      <c r="B143" s="425" t="s">
        <v>13</v>
      </c>
      <c r="C143" s="1190" t="str">
        <f>B115</f>
        <v>MÓDULO 6 – CUSTOS INDIRETOS, TRIBUTOS E LUCRO</v>
      </c>
      <c r="D143" s="1191"/>
      <c r="E143" s="1191"/>
      <c r="F143" s="1191"/>
      <c r="G143" s="1191"/>
      <c r="H143" s="1191"/>
      <c r="I143" s="1191"/>
      <c r="J143" s="1192"/>
      <c r="K143" s="428" t="e">
        <f>K124</f>
        <v>#REF!</v>
      </c>
      <c r="M143" s="36">
        <v>7</v>
      </c>
      <c r="N143" s="503"/>
      <c r="O143" s="504"/>
      <c r="P143" s="504"/>
      <c r="Q143" s="504"/>
      <c r="R143" s="504"/>
    </row>
    <row r="144" spans="2:18" s="17" customFormat="1">
      <c r="B144" s="1086" t="s">
        <v>75</v>
      </c>
      <c r="C144" s="1087"/>
      <c r="D144" s="1087"/>
      <c r="E144" s="1087"/>
      <c r="F144" s="1087"/>
      <c r="G144" s="1087"/>
      <c r="H144" s="1087"/>
      <c r="I144" s="1087"/>
      <c r="J144" s="1217"/>
      <c r="K144" s="347" t="e">
        <f>(K142+K118+K117)/(1-J126)</f>
        <v>#REF!</v>
      </c>
      <c r="M144" s="34">
        <f>M142*M143</f>
        <v>33759.670000000006</v>
      </c>
      <c r="N144" s="503"/>
      <c r="O144" s="504"/>
      <c r="P144" s="504"/>
      <c r="Q144" s="504"/>
      <c r="R144" s="504"/>
    </row>
    <row r="145" spans="2:18" s="17" customFormat="1">
      <c r="B145" s="1086" t="s">
        <v>100</v>
      </c>
      <c r="C145" s="1087"/>
      <c r="D145" s="1087"/>
      <c r="E145" s="1087"/>
      <c r="F145" s="1087"/>
      <c r="G145" s="1087"/>
      <c r="H145" s="1087"/>
      <c r="I145" s="1087"/>
      <c r="J145" s="1217"/>
      <c r="K145" s="347">
        <v>2</v>
      </c>
      <c r="M145" s="34"/>
      <c r="N145" s="503"/>
      <c r="O145" s="504"/>
      <c r="P145" s="504"/>
      <c r="Q145" s="504"/>
      <c r="R145" s="504"/>
    </row>
    <row r="146" spans="2:18" s="17" customFormat="1">
      <c r="B146" s="1086" t="s">
        <v>143</v>
      </c>
      <c r="C146" s="1087"/>
      <c r="D146" s="1087"/>
      <c r="E146" s="1087"/>
      <c r="F146" s="1087"/>
      <c r="G146" s="1087"/>
      <c r="H146" s="1087"/>
      <c r="I146" s="1087"/>
      <c r="J146" s="1217"/>
      <c r="K146" s="347" t="e">
        <f>K144*K145</f>
        <v>#REF!</v>
      </c>
      <c r="M146" s="34"/>
      <c r="N146" s="503"/>
      <c r="O146" s="504"/>
      <c r="P146" s="504"/>
      <c r="Q146" s="504"/>
      <c r="R146" s="504"/>
    </row>
    <row r="147" spans="2:18" s="17" customFormat="1">
      <c r="B147" s="1086" t="s">
        <v>122</v>
      </c>
      <c r="C147" s="1087"/>
      <c r="D147" s="1087"/>
      <c r="E147" s="1087"/>
      <c r="F147" s="1087"/>
      <c r="G147" s="1087"/>
      <c r="H147" s="1087"/>
      <c r="I147" s="1087"/>
      <c r="J147" s="1217"/>
      <c r="K147" s="347">
        <v>1</v>
      </c>
      <c r="M147" s="34">
        <f>M144*12</f>
        <v>405116.04000000004</v>
      </c>
      <c r="N147" s="503"/>
      <c r="O147" s="504"/>
      <c r="P147" s="504"/>
      <c r="Q147" s="504"/>
      <c r="R147" s="504"/>
    </row>
    <row r="148" spans="2:18" s="17" customFormat="1">
      <c r="B148" s="1086" t="s">
        <v>144</v>
      </c>
      <c r="C148" s="1087"/>
      <c r="D148" s="1087"/>
      <c r="E148" s="1087"/>
      <c r="F148" s="1087"/>
      <c r="G148" s="1087"/>
      <c r="H148" s="1087"/>
      <c r="I148" s="1087"/>
      <c r="J148" s="1217"/>
      <c r="K148" s="347" t="e">
        <f>K146*K147</f>
        <v>#REF!</v>
      </c>
      <c r="N148" s="503"/>
      <c r="O148" s="504"/>
      <c r="P148" s="504"/>
      <c r="Q148" s="504"/>
      <c r="R148" s="504"/>
    </row>
    <row r="149" spans="2:18" s="17" customFormat="1" ht="15" customHeight="1">
      <c r="B149" s="1064" t="s">
        <v>145</v>
      </c>
      <c r="C149" s="1064"/>
      <c r="D149" s="1064"/>
      <c r="E149" s="1064"/>
      <c r="F149" s="1064"/>
      <c r="G149" s="1064"/>
      <c r="H149" s="1064"/>
      <c r="I149" s="1064"/>
      <c r="J149" s="1064"/>
      <c r="K149" s="347" t="e">
        <f>K148*12</f>
        <v>#REF!</v>
      </c>
      <c r="L149" s="412" t="e">
        <f>K144+#REF!</f>
        <v>#REF!</v>
      </c>
      <c r="N149" s="503"/>
      <c r="O149" s="504"/>
      <c r="P149" s="504"/>
      <c r="Q149" s="504"/>
      <c r="R149" s="504"/>
    </row>
    <row r="150" spans="2:18" s="17" customFormat="1">
      <c r="B150" s="1053"/>
      <c r="C150" s="1053"/>
      <c r="D150" s="1053"/>
      <c r="E150" s="1053"/>
      <c r="F150" s="1053"/>
      <c r="G150" s="1053"/>
      <c r="H150" s="1053"/>
      <c r="I150" s="1053"/>
      <c r="J150" s="1053"/>
      <c r="K150" s="1053"/>
      <c r="N150" s="503"/>
      <c r="O150" s="504"/>
      <c r="P150" s="504"/>
      <c r="Q150" s="504"/>
      <c r="R150" s="504"/>
    </row>
    <row r="151" spans="2:18" s="17" customFormat="1">
      <c r="B151" s="234"/>
      <c r="C151" s="421"/>
      <c r="D151" s="421"/>
      <c r="E151" s="421"/>
      <c r="F151" s="421"/>
      <c r="G151" s="421"/>
      <c r="H151" s="421"/>
      <c r="I151" s="421"/>
      <c r="J151" s="421"/>
      <c r="K151" s="421"/>
      <c r="N151" s="503"/>
      <c r="O151" s="504"/>
      <c r="P151" s="504"/>
      <c r="Q151" s="504"/>
      <c r="R151" s="504"/>
    </row>
    <row r="152" spans="2:18" ht="15.75">
      <c r="B152" s="422"/>
      <c r="C152" s="422"/>
      <c r="D152" s="422"/>
      <c r="E152" s="422"/>
      <c r="F152" s="422"/>
      <c r="G152" s="422"/>
      <c r="H152" s="524"/>
      <c r="I152" s="524"/>
      <c r="J152" s="524"/>
      <c r="K152" s="524"/>
    </row>
    <row r="153" spans="2:18" ht="15.75">
      <c r="B153" s="422"/>
      <c r="C153" s="422"/>
      <c r="D153" s="422"/>
      <c r="E153" s="422"/>
      <c r="F153" s="422"/>
      <c r="G153" s="422"/>
      <c r="H153" s="524"/>
      <c r="I153" s="524"/>
      <c r="J153" s="524"/>
      <c r="K153" s="524"/>
    </row>
    <row r="154" spans="2:18" ht="15.75">
      <c r="B154" s="422"/>
      <c r="C154" s="422"/>
      <c r="D154" s="422"/>
      <c r="E154" s="422"/>
      <c r="F154" s="422"/>
      <c r="G154" s="422"/>
      <c r="H154" s="1059" t="s">
        <v>241</v>
      </c>
      <c r="I154" s="1059"/>
      <c r="J154" s="1059"/>
      <c r="K154" s="1059"/>
    </row>
    <row r="155" spans="2:18" ht="15.75">
      <c r="B155" s="422"/>
      <c r="C155" s="422"/>
      <c r="D155" s="422"/>
      <c r="E155" s="422"/>
      <c r="F155" s="422"/>
      <c r="G155" s="422"/>
      <c r="H155" s="1060" t="s">
        <v>242</v>
      </c>
      <c r="I155" s="1060"/>
      <c r="J155" s="1060"/>
      <c r="K155" s="1060"/>
    </row>
    <row r="156" spans="2:18">
      <c r="B156" s="422"/>
      <c r="C156" s="422"/>
      <c r="D156" s="422"/>
      <c r="E156" s="422"/>
      <c r="F156" s="422"/>
      <c r="G156" s="422"/>
    </row>
  </sheetData>
  <mergeCells count="164">
    <mergeCell ref="B147:J147"/>
    <mergeCell ref="B148:J148"/>
    <mergeCell ref="B149:J149"/>
    <mergeCell ref="B150:K150"/>
    <mergeCell ref="H154:K154"/>
    <mergeCell ref="H155:K155"/>
    <mergeCell ref="C141:J141"/>
    <mergeCell ref="B142:J142"/>
    <mergeCell ref="C143:J143"/>
    <mergeCell ref="B144:J144"/>
    <mergeCell ref="B145:J145"/>
    <mergeCell ref="B146:J146"/>
    <mergeCell ref="B135:K135"/>
    <mergeCell ref="B136:J136"/>
    <mergeCell ref="C137:J137"/>
    <mergeCell ref="C138:J138"/>
    <mergeCell ref="C139:J139"/>
    <mergeCell ref="C140:J140"/>
    <mergeCell ref="D126:I126"/>
    <mergeCell ref="J126:K127"/>
    <mergeCell ref="D127:I127"/>
    <mergeCell ref="D129:I129"/>
    <mergeCell ref="D131:I131"/>
    <mergeCell ref="D133:I133"/>
    <mergeCell ref="C120:I120"/>
    <mergeCell ref="C121:I121"/>
    <mergeCell ref="C122:I122"/>
    <mergeCell ref="C123:I123"/>
    <mergeCell ref="B124:I124"/>
    <mergeCell ref="D125:K125"/>
    <mergeCell ref="B114:I114"/>
    <mergeCell ref="B115:K115"/>
    <mergeCell ref="C116:I116"/>
    <mergeCell ref="C117:I117"/>
    <mergeCell ref="C118:I118"/>
    <mergeCell ref="C119:K119"/>
    <mergeCell ref="B108:K108"/>
    <mergeCell ref="B109:K109"/>
    <mergeCell ref="C110:J110"/>
    <mergeCell ref="C111:I111"/>
    <mergeCell ref="C112:I112"/>
    <mergeCell ref="C113:I113"/>
    <mergeCell ref="B102:K102"/>
    <mergeCell ref="B103:J103"/>
    <mergeCell ref="C104:J104"/>
    <mergeCell ref="C105:J105"/>
    <mergeCell ref="B106:J106"/>
    <mergeCell ref="B107:I107"/>
    <mergeCell ref="C95:I95"/>
    <mergeCell ref="B96:I96"/>
    <mergeCell ref="B97:K97"/>
    <mergeCell ref="B98:J98"/>
    <mergeCell ref="C99:J99"/>
    <mergeCell ref="B100:J100"/>
    <mergeCell ref="B89:I89"/>
    <mergeCell ref="C90:I90"/>
    <mergeCell ref="C91:I91"/>
    <mergeCell ref="C92:I92"/>
    <mergeCell ref="C93:I93"/>
    <mergeCell ref="C94:I94"/>
    <mergeCell ref="C83:I83"/>
    <mergeCell ref="C84:I84"/>
    <mergeCell ref="C85:I85"/>
    <mergeCell ref="B86:I86"/>
    <mergeCell ref="C87:K87"/>
    <mergeCell ref="B88:K88"/>
    <mergeCell ref="C77:J77"/>
    <mergeCell ref="B78:K78"/>
    <mergeCell ref="C79:I79"/>
    <mergeCell ref="C80:I80"/>
    <mergeCell ref="C81:I81"/>
    <mergeCell ref="C82:I82"/>
    <mergeCell ref="C71:K71"/>
    <mergeCell ref="B72:K72"/>
    <mergeCell ref="B73:J73"/>
    <mergeCell ref="C74:J74"/>
    <mergeCell ref="C75:J75"/>
    <mergeCell ref="C76:J76"/>
    <mergeCell ref="C65:I65"/>
    <mergeCell ref="C66:I66"/>
    <mergeCell ref="C67:I67"/>
    <mergeCell ref="C68:I68"/>
    <mergeCell ref="C69:I69"/>
    <mergeCell ref="B70:J70"/>
    <mergeCell ref="B62:I62"/>
    <mergeCell ref="J62:K62"/>
    <mergeCell ref="B63:B64"/>
    <mergeCell ref="C63:E64"/>
    <mergeCell ref="J63:J64"/>
    <mergeCell ref="K63:K64"/>
    <mergeCell ref="C56:I56"/>
    <mergeCell ref="C57:I57"/>
    <mergeCell ref="C58:I58"/>
    <mergeCell ref="C59:I59"/>
    <mergeCell ref="B60:I60"/>
    <mergeCell ref="C61:K61"/>
    <mergeCell ref="B50:K50"/>
    <mergeCell ref="B51:I51"/>
    <mergeCell ref="C52:I52"/>
    <mergeCell ref="C53:I53"/>
    <mergeCell ref="C54:I54"/>
    <mergeCell ref="C55:I55"/>
    <mergeCell ref="O43:R43"/>
    <mergeCell ref="B45:K45"/>
    <mergeCell ref="B46:I46"/>
    <mergeCell ref="C47:I47"/>
    <mergeCell ref="C48:I48"/>
    <mergeCell ref="B49:I49"/>
    <mergeCell ref="D38:I38"/>
    <mergeCell ref="D39:I39"/>
    <mergeCell ref="C40:I40"/>
    <mergeCell ref="B41:J41"/>
    <mergeCell ref="B42:J42"/>
    <mergeCell ref="O42:R42"/>
    <mergeCell ref="C33:I33"/>
    <mergeCell ref="C34:I34"/>
    <mergeCell ref="C35:I35"/>
    <mergeCell ref="C36:I36"/>
    <mergeCell ref="N36:Q36"/>
    <mergeCell ref="D37:I37"/>
    <mergeCell ref="C28:J28"/>
    <mergeCell ref="C29:J29"/>
    <mergeCell ref="C30:K30"/>
    <mergeCell ref="N30:Q30"/>
    <mergeCell ref="B31:K31"/>
    <mergeCell ref="C32:I32"/>
    <mergeCell ref="N32:R32"/>
    <mergeCell ref="B22:K22"/>
    <mergeCell ref="N22:R22"/>
    <mergeCell ref="B24:K24"/>
    <mergeCell ref="C25:J25"/>
    <mergeCell ref="C26:J26"/>
    <mergeCell ref="C27:J27"/>
    <mergeCell ref="B17:K17"/>
    <mergeCell ref="B19:G19"/>
    <mergeCell ref="I19:K19"/>
    <mergeCell ref="B20:G20"/>
    <mergeCell ref="I20:K20"/>
    <mergeCell ref="N20:Q20"/>
    <mergeCell ref="C13:G13"/>
    <mergeCell ref="H13:K13"/>
    <mergeCell ref="C14:G14"/>
    <mergeCell ref="H14:K14"/>
    <mergeCell ref="C15:G15"/>
    <mergeCell ref="H15:K15"/>
    <mergeCell ref="C8:G8"/>
    <mergeCell ref="H8:K8"/>
    <mergeCell ref="H9:K9"/>
    <mergeCell ref="B10:K10"/>
    <mergeCell ref="B11:K11"/>
    <mergeCell ref="C12:G12"/>
    <mergeCell ref="H12:K12"/>
    <mergeCell ref="B4:K4"/>
    <mergeCell ref="B5:K5"/>
    <mergeCell ref="N5:R5"/>
    <mergeCell ref="H6:K6"/>
    <mergeCell ref="C7:G7"/>
    <mergeCell ref="H7:K7"/>
    <mergeCell ref="B1:K1"/>
    <mergeCell ref="N1:R1"/>
    <mergeCell ref="B2:K2"/>
    <mergeCell ref="N2:R2"/>
    <mergeCell ref="B3:I3"/>
    <mergeCell ref="N3:R3"/>
  </mergeCells>
  <pageMargins left="0.51181102362204722" right="0.51181102362204722" top="0.93" bottom="0.28000000000000003" header="0.18" footer="0.12"/>
  <pageSetup paperSize="9" scale="65" orientation="portrait" horizontalDpi="360" verticalDpi="360" r:id="rId1"/>
  <headerFooter>
    <oddHeader>&amp;L&amp;G&amp;R&amp;G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dimension ref="B1:T158"/>
  <sheetViews>
    <sheetView view="pageBreakPreview" topLeftCell="E1" zoomScale="70" zoomScaleNormal="55" zoomScaleSheetLayoutView="70" workbookViewId="0">
      <selection activeCell="I21" sqref="I21:K21"/>
    </sheetView>
  </sheetViews>
  <sheetFormatPr defaultRowHeight="15"/>
  <cols>
    <col min="1" max="1" width="6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29.7109375" style="236" customWidth="1"/>
    <col min="8" max="8" width="19.140625" style="236" customWidth="1"/>
    <col min="9" max="9" width="20.28515625" style="236" customWidth="1"/>
    <col min="10" max="10" width="10.140625" style="236" customWidth="1"/>
    <col min="11" max="11" width="17.5703125" style="236" customWidth="1"/>
    <col min="12" max="12" width="9.85546875" style="2" bestFit="1" customWidth="1"/>
    <col min="13" max="13" width="7.28515625" style="2" customWidth="1"/>
    <col min="14" max="14" width="53.7109375" style="503" customWidth="1"/>
    <col min="15" max="15" width="9.28515625" style="504" bestFit="1" customWidth="1"/>
    <col min="16" max="16" width="18" style="504" bestFit="1" customWidth="1"/>
    <col min="17" max="17" width="19.140625" style="504" customWidth="1"/>
    <col min="18" max="18" width="18.5703125" style="504" customWidth="1"/>
    <col min="19" max="19" width="9.5703125" style="2" bestFit="1" customWidth="1"/>
    <col min="20" max="16384" width="9.140625" style="2"/>
  </cols>
  <sheetData>
    <row r="1" spans="2:18" ht="22.5" customHeight="1"/>
    <row r="2" spans="2:18" s="6" customFormat="1" ht="15.75" customHeight="1">
      <c r="B2" s="987" t="s">
        <v>282</v>
      </c>
      <c r="C2" s="987"/>
      <c r="D2" s="987"/>
      <c r="E2" s="987"/>
      <c r="F2" s="987"/>
      <c r="G2" s="987"/>
      <c r="H2" s="987"/>
      <c r="I2" s="987"/>
      <c r="J2" s="987"/>
      <c r="K2" s="987"/>
      <c r="L2" s="5"/>
      <c r="M2" s="5"/>
      <c r="N2" s="988" t="s">
        <v>287</v>
      </c>
      <c r="O2" s="988"/>
      <c r="P2" s="988"/>
      <c r="Q2" s="988"/>
      <c r="R2" s="988"/>
    </row>
    <row r="3" spans="2:18" s="6" customFormat="1" ht="12.75">
      <c r="B3" s="989" t="s">
        <v>139</v>
      </c>
      <c r="C3" s="990"/>
      <c r="D3" s="990"/>
      <c r="E3" s="990"/>
      <c r="F3" s="990"/>
      <c r="G3" s="990"/>
      <c r="H3" s="990"/>
      <c r="I3" s="990"/>
      <c r="J3" s="990"/>
      <c r="K3" s="991"/>
      <c r="L3" s="5"/>
      <c r="M3" s="5"/>
      <c r="N3" s="992" t="s">
        <v>139</v>
      </c>
      <c r="O3" s="993"/>
      <c r="P3" s="993"/>
      <c r="Q3" s="993"/>
      <c r="R3" s="994"/>
    </row>
    <row r="4" spans="2:18" s="6" customFormat="1" ht="16.5" customHeight="1">
      <c r="B4" s="995"/>
      <c r="C4" s="996"/>
      <c r="D4" s="996"/>
      <c r="E4" s="996"/>
      <c r="F4" s="996"/>
      <c r="G4" s="996"/>
      <c r="H4" s="996"/>
      <c r="I4" s="996"/>
      <c r="J4" s="342" t="s">
        <v>127</v>
      </c>
      <c r="K4" s="343" t="s">
        <v>283</v>
      </c>
      <c r="L4" s="5"/>
      <c r="M4" s="5"/>
      <c r="N4" s="1228"/>
      <c r="O4" s="1228"/>
      <c r="P4" s="1228"/>
      <c r="Q4" s="1228"/>
      <c r="R4" s="1228"/>
    </row>
    <row r="5" spans="2:18" s="6" customFormat="1" ht="12.75">
      <c r="B5" s="1011" t="s">
        <v>23</v>
      </c>
      <c r="C5" s="1012"/>
      <c r="D5" s="1012"/>
      <c r="E5" s="1012"/>
      <c r="F5" s="1012"/>
      <c r="G5" s="1012"/>
      <c r="H5" s="1012"/>
      <c r="I5" s="1012"/>
      <c r="J5" s="1012"/>
      <c r="K5" s="1013"/>
      <c r="L5" s="5"/>
      <c r="M5" s="5"/>
      <c r="N5" s="331"/>
      <c r="O5" s="508"/>
      <c r="P5" s="509"/>
      <c r="Q5" s="508"/>
      <c r="R5" s="332"/>
    </row>
    <row r="6" spans="2:18" s="6" customFormat="1" ht="12.75">
      <c r="B6" s="1014" t="s">
        <v>223</v>
      </c>
      <c r="C6" s="1014"/>
      <c r="D6" s="1014"/>
      <c r="E6" s="1014"/>
      <c r="F6" s="1014"/>
      <c r="G6" s="1014"/>
      <c r="H6" s="1014"/>
      <c r="I6" s="1014"/>
      <c r="J6" s="1014"/>
      <c r="K6" s="1014"/>
      <c r="L6" s="5"/>
      <c r="M6" s="5"/>
      <c r="N6" s="986" t="s">
        <v>187</v>
      </c>
      <c r="O6" s="986"/>
      <c r="P6" s="986"/>
      <c r="Q6" s="986"/>
      <c r="R6" s="986"/>
    </row>
    <row r="7" spans="2:18" s="6" customFormat="1" ht="12.75">
      <c r="B7" s="486" t="s">
        <v>128</v>
      </c>
      <c r="C7" s="313" t="s">
        <v>129</v>
      </c>
      <c r="D7" s="314"/>
      <c r="E7" s="314"/>
      <c r="F7" s="314"/>
      <c r="G7" s="314"/>
      <c r="H7" s="1015" t="str">
        <f>K4</f>
        <v>05/04/2021 - 09:00H</v>
      </c>
      <c r="I7" s="1015"/>
      <c r="J7" s="1015"/>
      <c r="K7" s="1015"/>
      <c r="L7" s="5"/>
      <c r="M7" s="5"/>
      <c r="N7" s="319" t="s">
        <v>114</v>
      </c>
      <c r="O7" s="320" t="s">
        <v>115</v>
      </c>
      <c r="P7" s="320" t="s">
        <v>116</v>
      </c>
      <c r="Q7" s="320" t="s">
        <v>117</v>
      </c>
      <c r="R7" s="320" t="s">
        <v>97</v>
      </c>
    </row>
    <row r="8" spans="2:18" s="6" customFormat="1" ht="12.75">
      <c r="B8" s="486" t="s">
        <v>8</v>
      </c>
      <c r="C8" s="1001" t="s">
        <v>130</v>
      </c>
      <c r="D8" s="1002"/>
      <c r="E8" s="1002"/>
      <c r="F8" s="1002"/>
      <c r="G8" s="1003"/>
      <c r="H8" s="1015" t="s">
        <v>294</v>
      </c>
      <c r="I8" s="1015"/>
      <c r="J8" s="1015"/>
      <c r="K8" s="1015"/>
      <c r="L8" s="5"/>
      <c r="M8" s="5"/>
      <c r="N8" s="321" t="s">
        <v>118</v>
      </c>
      <c r="O8" s="322">
        <v>1</v>
      </c>
      <c r="P8" s="510">
        <v>47.34</v>
      </c>
      <c r="Q8" s="322">
        <v>6</v>
      </c>
      <c r="R8" s="510">
        <f>(O8*P8)/Q8</f>
        <v>7.8900000000000006</v>
      </c>
    </row>
    <row r="9" spans="2:18" s="6" customFormat="1" ht="16.5" customHeight="1">
      <c r="B9" s="486" t="s">
        <v>9</v>
      </c>
      <c r="C9" s="1001" t="s">
        <v>131</v>
      </c>
      <c r="D9" s="1002"/>
      <c r="E9" s="1002"/>
      <c r="F9" s="1002"/>
      <c r="G9" s="1003"/>
      <c r="H9" s="1004" t="s">
        <v>288</v>
      </c>
      <c r="I9" s="1004"/>
      <c r="J9" s="1004"/>
      <c r="K9" s="1004"/>
      <c r="L9" s="5"/>
      <c r="M9" s="5"/>
      <c r="N9" s="321" t="s">
        <v>162</v>
      </c>
      <c r="O9" s="322">
        <v>2</v>
      </c>
      <c r="P9" s="510">
        <v>50</v>
      </c>
      <c r="Q9" s="322">
        <v>6</v>
      </c>
      <c r="R9" s="510">
        <f>(O9*P9)/Q9</f>
        <v>16.666666666666668</v>
      </c>
    </row>
    <row r="10" spans="2:18" s="6" customFormat="1" ht="16.5" customHeight="1">
      <c r="B10" s="486" t="s">
        <v>10</v>
      </c>
      <c r="C10" s="313" t="s">
        <v>132</v>
      </c>
      <c r="D10" s="314"/>
      <c r="E10" s="314"/>
      <c r="F10" s="314"/>
      <c r="G10" s="314"/>
      <c r="H10" s="1004">
        <v>12</v>
      </c>
      <c r="I10" s="1004"/>
      <c r="J10" s="1004"/>
      <c r="K10" s="1004"/>
      <c r="L10" s="5"/>
      <c r="M10" s="5"/>
      <c r="N10" s="321" t="s">
        <v>185</v>
      </c>
      <c r="O10" s="322">
        <v>1</v>
      </c>
      <c r="P10" s="510">
        <v>150</v>
      </c>
      <c r="Q10" s="322">
        <v>6</v>
      </c>
      <c r="R10" s="510">
        <f>P10/Q10</f>
        <v>25</v>
      </c>
    </row>
    <row r="11" spans="2:18" s="6" customFormat="1" ht="16.5" customHeight="1">
      <c r="B11" s="1005" t="s">
        <v>133</v>
      </c>
      <c r="C11" s="1005"/>
      <c r="D11" s="1005"/>
      <c r="E11" s="1005"/>
      <c r="F11" s="1005"/>
      <c r="G11" s="1005"/>
      <c r="H11" s="1005"/>
      <c r="I11" s="1005"/>
      <c r="J11" s="1005"/>
      <c r="K11" s="1005"/>
      <c r="L11" s="5"/>
      <c r="M11" s="5"/>
      <c r="N11" s="321" t="s">
        <v>186</v>
      </c>
      <c r="O11" s="322">
        <v>1</v>
      </c>
      <c r="P11" s="510">
        <v>4.72</v>
      </c>
      <c r="Q11" s="322">
        <v>12</v>
      </c>
      <c r="R11" s="510">
        <f>P11/Q11</f>
        <v>0.39333333333333331</v>
      </c>
    </row>
    <row r="12" spans="2:18" s="6" customFormat="1" ht="12.75">
      <c r="B12" s="1006" t="s">
        <v>134</v>
      </c>
      <c r="C12" s="1006"/>
      <c r="D12" s="1006"/>
      <c r="E12" s="1006"/>
      <c r="F12" s="1006"/>
      <c r="G12" s="1006"/>
      <c r="H12" s="1006"/>
      <c r="I12" s="1006"/>
      <c r="J12" s="1006"/>
      <c r="K12" s="1006"/>
      <c r="L12" s="5"/>
      <c r="M12" s="5"/>
      <c r="N12" s="321" t="s">
        <v>119</v>
      </c>
      <c r="O12" s="322">
        <v>1</v>
      </c>
      <c r="P12" s="510">
        <v>10</v>
      </c>
      <c r="Q12" s="322">
        <v>12</v>
      </c>
      <c r="R12" s="510">
        <f t="shared" ref="R12:R13" si="0">(O12*P12)/Q12</f>
        <v>0.83333333333333337</v>
      </c>
    </row>
    <row r="13" spans="2:18" s="6" customFormat="1" ht="28.5" customHeight="1">
      <c r="B13" s="315">
        <v>1</v>
      </c>
      <c r="C13" s="1007" t="s">
        <v>25</v>
      </c>
      <c r="D13" s="1008"/>
      <c r="E13" s="1008"/>
      <c r="F13" s="1008"/>
      <c r="G13" s="1009"/>
      <c r="H13" s="1010" t="str">
        <f>B6</f>
        <v>VIGILANCIA ARMADA 12 HORAS DIURNAS 12X36 DE SEGUNDA FEIRA A DOMINGO</v>
      </c>
      <c r="I13" s="1010"/>
      <c r="J13" s="1010"/>
      <c r="K13" s="1010"/>
      <c r="L13" s="5"/>
      <c r="M13" s="5"/>
      <c r="N13" s="321" t="s">
        <v>124</v>
      </c>
      <c r="O13" s="322">
        <v>1</v>
      </c>
      <c r="P13" s="510">
        <v>50</v>
      </c>
      <c r="Q13" s="322">
        <v>6</v>
      </c>
      <c r="R13" s="510">
        <f t="shared" si="0"/>
        <v>8.3333333333333339</v>
      </c>
    </row>
    <row r="14" spans="2:18" s="6" customFormat="1" ht="12.75">
      <c r="B14" s="315">
        <v>2</v>
      </c>
      <c r="C14" s="1007" t="s">
        <v>135</v>
      </c>
      <c r="D14" s="1008"/>
      <c r="E14" s="1008"/>
      <c r="F14" s="1008"/>
      <c r="G14" s="1009"/>
      <c r="H14" s="1024" t="s">
        <v>136</v>
      </c>
      <c r="I14" s="1024"/>
      <c r="J14" s="1024"/>
      <c r="K14" s="1024"/>
      <c r="L14" s="5"/>
      <c r="M14" s="5"/>
      <c r="N14" s="321" t="s">
        <v>148</v>
      </c>
      <c r="O14" s="322">
        <v>2</v>
      </c>
      <c r="P14" s="510">
        <v>8</v>
      </c>
      <c r="Q14" s="322">
        <v>6</v>
      </c>
      <c r="R14" s="510">
        <f>(O14*P14)/Q14</f>
        <v>2.6666666666666665</v>
      </c>
    </row>
    <row r="15" spans="2:18" s="6" customFormat="1" ht="12.75">
      <c r="B15" s="315">
        <v>3</v>
      </c>
      <c r="C15" s="1007" t="s">
        <v>137</v>
      </c>
      <c r="D15" s="1008"/>
      <c r="E15" s="1008"/>
      <c r="F15" s="1008"/>
      <c r="G15" s="1009"/>
      <c r="H15" s="1025">
        <v>1532.24</v>
      </c>
      <c r="I15" s="1025"/>
      <c r="J15" s="1025"/>
      <c r="K15" s="1025"/>
      <c r="L15" s="5"/>
      <c r="M15" s="5"/>
      <c r="N15" s="321" t="s">
        <v>206</v>
      </c>
      <c r="O15" s="322">
        <v>1</v>
      </c>
      <c r="P15" s="510">
        <v>5</v>
      </c>
      <c r="Q15" s="322">
        <v>12</v>
      </c>
      <c r="R15" s="510">
        <f t="shared" ref="R15:R19" si="1">(O15*P15)/Q15</f>
        <v>0.41666666666666669</v>
      </c>
    </row>
    <row r="16" spans="2:18" s="6" customFormat="1" ht="12.75">
      <c r="B16" s="315">
        <v>4</v>
      </c>
      <c r="C16" s="1007" t="s">
        <v>138</v>
      </c>
      <c r="D16" s="1008"/>
      <c r="E16" s="1008"/>
      <c r="F16" s="1008"/>
      <c r="G16" s="1009"/>
      <c r="H16" s="1026">
        <v>43831</v>
      </c>
      <c r="I16" s="1024"/>
      <c r="J16" s="1024"/>
      <c r="K16" s="1024"/>
      <c r="L16" s="5"/>
      <c r="M16" s="5"/>
      <c r="N16" s="321" t="s">
        <v>189</v>
      </c>
      <c r="O16" s="322">
        <v>1</v>
      </c>
      <c r="P16" s="510">
        <v>20</v>
      </c>
      <c r="Q16" s="322">
        <v>12</v>
      </c>
      <c r="R16" s="510">
        <f t="shared" si="1"/>
        <v>1.6666666666666667</v>
      </c>
    </row>
    <row r="17" spans="2:18" s="17" customFormat="1" ht="12.75">
      <c r="B17" s="291"/>
      <c r="C17" s="487"/>
      <c r="D17" s="495"/>
      <c r="E17" s="495"/>
      <c r="F17" s="495"/>
      <c r="G17" s="495"/>
      <c r="H17" s="495"/>
      <c r="I17" s="495"/>
      <c r="J17" s="495"/>
      <c r="K17" s="488"/>
      <c r="N17" s="321" t="s">
        <v>207</v>
      </c>
      <c r="O17" s="322">
        <v>1</v>
      </c>
      <c r="P17" s="510">
        <v>40</v>
      </c>
      <c r="Q17" s="322">
        <v>12</v>
      </c>
      <c r="R17" s="510">
        <f t="shared" si="1"/>
        <v>3.3333333333333335</v>
      </c>
    </row>
    <row r="18" spans="2:18" s="17" customFormat="1" ht="12.75">
      <c r="B18" s="1016" t="s">
        <v>76</v>
      </c>
      <c r="C18" s="1016"/>
      <c r="D18" s="1016"/>
      <c r="E18" s="1016"/>
      <c r="F18" s="1016"/>
      <c r="G18" s="1016"/>
      <c r="H18" s="1016"/>
      <c r="I18" s="1016"/>
      <c r="J18" s="1016"/>
      <c r="K18" s="1016"/>
      <c r="N18" s="321" t="s">
        <v>208</v>
      </c>
      <c r="O18" s="322">
        <v>1</v>
      </c>
      <c r="P18" s="510">
        <v>7</v>
      </c>
      <c r="Q18" s="322">
        <v>12</v>
      </c>
      <c r="R18" s="510">
        <f t="shared" si="1"/>
        <v>0.58333333333333337</v>
      </c>
    </row>
    <row r="19" spans="2:18" s="17" customFormat="1" ht="12.75">
      <c r="B19" s="291"/>
      <c r="C19" s="487"/>
      <c r="D19" s="495"/>
      <c r="E19" s="495"/>
      <c r="F19" s="495"/>
      <c r="G19" s="495"/>
      <c r="H19" s="495"/>
      <c r="I19" s="495"/>
      <c r="J19" s="487"/>
      <c r="K19" s="488"/>
      <c r="N19" s="321" t="s">
        <v>209</v>
      </c>
      <c r="O19" s="322">
        <v>1</v>
      </c>
      <c r="P19" s="510">
        <v>5</v>
      </c>
      <c r="Q19" s="322">
        <v>12</v>
      </c>
      <c r="R19" s="510">
        <f t="shared" si="1"/>
        <v>0.41666666666666669</v>
      </c>
    </row>
    <row r="20" spans="2:18" s="17" customFormat="1" ht="27.75" customHeight="1">
      <c r="B20" s="1017" t="s">
        <v>25</v>
      </c>
      <c r="C20" s="1017"/>
      <c r="D20" s="1017"/>
      <c r="E20" s="1017"/>
      <c r="F20" s="1017"/>
      <c r="G20" s="1017"/>
      <c r="H20" s="519" t="s">
        <v>26</v>
      </c>
      <c r="I20" s="1018" t="s">
        <v>27</v>
      </c>
      <c r="J20" s="1018"/>
      <c r="K20" s="1018"/>
      <c r="N20" s="321" t="s">
        <v>163</v>
      </c>
      <c r="O20" s="322">
        <v>2</v>
      </c>
      <c r="P20" s="510">
        <v>1</v>
      </c>
      <c r="Q20" s="322">
        <v>12</v>
      </c>
      <c r="R20" s="510">
        <f>(O20*P20)/Q20</f>
        <v>0.16666666666666666</v>
      </c>
    </row>
    <row r="21" spans="2:18" s="17" customFormat="1" ht="27.75" customHeight="1">
      <c r="B21" s="1019" t="str">
        <f>H13</f>
        <v>VIGILANCIA ARMADA 12 HORAS DIURNAS 12X36 DE SEGUNDA FEIRA A DOMINGO</v>
      </c>
      <c r="C21" s="1020"/>
      <c r="D21" s="1020"/>
      <c r="E21" s="1020"/>
      <c r="F21" s="1020"/>
      <c r="G21" s="1020"/>
      <c r="H21" s="317" t="s">
        <v>94</v>
      </c>
      <c r="I21" s="1021">
        <v>2</v>
      </c>
      <c r="J21" s="1021"/>
      <c r="K21" s="1021"/>
      <c r="N21" s="986" t="s">
        <v>147</v>
      </c>
      <c r="O21" s="986"/>
      <c r="P21" s="986"/>
      <c r="Q21" s="986"/>
      <c r="R21" s="511">
        <f>R8+R9+R10+R11+R12+R13+R14+R15+R16+R17+R18+R19+R20</f>
        <v>68.366666666666674</v>
      </c>
    </row>
    <row r="22" spans="2:18" s="17" customFormat="1" ht="12.75">
      <c r="B22" s="291"/>
      <c r="C22" s="487"/>
      <c r="D22" s="495"/>
      <c r="E22" s="495"/>
      <c r="F22" s="495"/>
      <c r="G22" s="495"/>
      <c r="H22" s="495"/>
      <c r="I22" s="495"/>
      <c r="J22" s="495"/>
      <c r="K22" s="488"/>
      <c r="N22" s="512"/>
      <c r="O22" s="513"/>
      <c r="P22" s="513"/>
      <c r="Q22" s="513"/>
      <c r="R22" s="514"/>
    </row>
    <row r="23" spans="2:18" s="17" customFormat="1" ht="12.75">
      <c r="B23" s="1005" t="s">
        <v>140</v>
      </c>
      <c r="C23" s="1005"/>
      <c r="D23" s="1005"/>
      <c r="E23" s="1005"/>
      <c r="F23" s="1005"/>
      <c r="G23" s="1005"/>
      <c r="H23" s="1005"/>
      <c r="I23" s="1005"/>
      <c r="J23" s="1005"/>
      <c r="K23" s="1005"/>
      <c r="N23" s="986" t="s">
        <v>188</v>
      </c>
      <c r="O23" s="986"/>
      <c r="P23" s="986"/>
      <c r="Q23" s="986"/>
      <c r="R23" s="986"/>
    </row>
    <row r="24" spans="2:18" s="17" customFormat="1" ht="12.75">
      <c r="B24" s="291"/>
      <c r="C24" s="495"/>
      <c r="D24" s="495"/>
      <c r="E24" s="495"/>
      <c r="F24" s="495"/>
      <c r="G24" s="495"/>
      <c r="H24" s="495"/>
      <c r="I24" s="495"/>
      <c r="J24" s="495"/>
      <c r="K24" s="488"/>
      <c r="N24" s="323" t="s">
        <v>114</v>
      </c>
      <c r="O24" s="324" t="s">
        <v>115</v>
      </c>
      <c r="P24" s="324" t="s">
        <v>116</v>
      </c>
      <c r="Q24" s="324" t="s">
        <v>117</v>
      </c>
      <c r="R24" s="324" t="s">
        <v>97</v>
      </c>
    </row>
    <row r="25" spans="2:18" s="17" customFormat="1" ht="12.75">
      <c r="B25" s="1030" t="s">
        <v>38</v>
      </c>
      <c r="C25" s="1030"/>
      <c r="D25" s="1030"/>
      <c r="E25" s="1030"/>
      <c r="F25" s="1030"/>
      <c r="G25" s="1030"/>
      <c r="H25" s="1030"/>
      <c r="I25" s="1030"/>
      <c r="J25" s="1030"/>
      <c r="K25" s="1030"/>
      <c r="N25" s="325" t="s">
        <v>120</v>
      </c>
      <c r="O25" s="326">
        <v>1</v>
      </c>
      <c r="P25" s="515">
        <v>30</v>
      </c>
      <c r="Q25" s="326">
        <v>6</v>
      </c>
      <c r="R25" s="516">
        <f>(O25*P25)/Q25</f>
        <v>5</v>
      </c>
    </row>
    <row r="26" spans="2:18" s="17" customFormat="1" ht="12.75">
      <c r="B26" s="238">
        <v>1</v>
      </c>
      <c r="C26" s="1032" t="s">
        <v>81</v>
      </c>
      <c r="D26" s="1033"/>
      <c r="E26" s="1033"/>
      <c r="F26" s="1033"/>
      <c r="G26" s="1033"/>
      <c r="H26" s="1033"/>
      <c r="I26" s="1008"/>
      <c r="J26" s="1009"/>
      <c r="K26" s="238" t="s">
        <v>259</v>
      </c>
      <c r="N26" s="327" t="s">
        <v>125</v>
      </c>
      <c r="O26" s="326">
        <v>1</v>
      </c>
      <c r="P26" s="515">
        <v>400</v>
      </c>
      <c r="Q26" s="326">
        <v>60</v>
      </c>
      <c r="R26" s="515">
        <f>O26*P26/Q26</f>
        <v>6.666666666666667</v>
      </c>
    </row>
    <row r="27" spans="2:18" s="17" customFormat="1" ht="12.75">
      <c r="B27" s="238">
        <v>2</v>
      </c>
      <c r="C27" s="1027" t="s">
        <v>39</v>
      </c>
      <c r="D27" s="1027"/>
      <c r="E27" s="1027"/>
      <c r="F27" s="1027"/>
      <c r="G27" s="1027"/>
      <c r="H27" s="1027"/>
      <c r="I27" s="1027"/>
      <c r="J27" s="1027"/>
      <c r="K27" s="238" t="s">
        <v>121</v>
      </c>
      <c r="N27" s="328" t="s">
        <v>190</v>
      </c>
      <c r="O27" s="326">
        <v>1</v>
      </c>
      <c r="P27" s="515">
        <v>20</v>
      </c>
      <c r="Q27" s="326">
        <v>12</v>
      </c>
      <c r="R27" s="515">
        <f t="shared" ref="R27" si="2">(O27*P27)/Q27</f>
        <v>1.6666666666666667</v>
      </c>
    </row>
    <row r="28" spans="2:18" s="17" customFormat="1" ht="12.75">
      <c r="B28" s="238">
        <v>3</v>
      </c>
      <c r="C28" s="1027" t="s">
        <v>6</v>
      </c>
      <c r="D28" s="1027"/>
      <c r="E28" s="1027"/>
      <c r="F28" s="1027"/>
      <c r="G28" s="1027"/>
      <c r="H28" s="1027"/>
      <c r="I28" s="1027"/>
      <c r="J28" s="1027"/>
      <c r="K28" s="282">
        <f>H15</f>
        <v>1532.24</v>
      </c>
      <c r="N28" s="328" t="s">
        <v>210</v>
      </c>
      <c r="O28" s="322">
        <v>1</v>
      </c>
      <c r="P28" s="510">
        <v>30</v>
      </c>
      <c r="Q28" s="322">
        <v>12</v>
      </c>
      <c r="R28" s="510">
        <f>(O28*P28)/Q28</f>
        <v>2.5</v>
      </c>
    </row>
    <row r="29" spans="2:18" s="17" customFormat="1" ht="12.75">
      <c r="B29" s="238">
        <v>4</v>
      </c>
      <c r="C29" s="1027" t="s">
        <v>177</v>
      </c>
      <c r="D29" s="1027"/>
      <c r="E29" s="1027"/>
      <c r="F29" s="1027"/>
      <c r="G29" s="1027"/>
      <c r="H29" s="1027"/>
      <c r="I29" s="1027"/>
      <c r="J29" s="1027"/>
      <c r="K29" s="238" t="s">
        <v>108</v>
      </c>
      <c r="N29" s="321" t="s">
        <v>215</v>
      </c>
      <c r="O29" s="322">
        <v>1</v>
      </c>
      <c r="P29" s="510">
        <v>5</v>
      </c>
      <c r="Q29" s="322">
        <v>6</v>
      </c>
      <c r="R29" s="510">
        <f t="shared" ref="R29:R30" si="3">(O29*P29)/Q29</f>
        <v>0.83333333333333337</v>
      </c>
    </row>
    <row r="30" spans="2:18" s="17" customFormat="1" ht="12.75">
      <c r="B30" s="238">
        <v>6</v>
      </c>
      <c r="C30" s="1027" t="s">
        <v>5</v>
      </c>
      <c r="D30" s="1027"/>
      <c r="E30" s="1027"/>
      <c r="F30" s="1027"/>
      <c r="G30" s="1027"/>
      <c r="H30" s="1027"/>
      <c r="I30" s="1027"/>
      <c r="J30" s="1027"/>
      <c r="K30" s="283">
        <v>43831</v>
      </c>
      <c r="N30" s="328" t="s">
        <v>211</v>
      </c>
      <c r="O30" s="322">
        <v>1</v>
      </c>
      <c r="P30" s="510">
        <v>250</v>
      </c>
      <c r="Q30" s="322">
        <v>60</v>
      </c>
      <c r="R30" s="510">
        <f t="shared" si="3"/>
        <v>4.166666666666667</v>
      </c>
    </row>
    <row r="31" spans="2:18" s="17" customFormat="1" ht="12.75">
      <c r="B31" s="291"/>
      <c r="C31" s="1028"/>
      <c r="D31" s="1028"/>
      <c r="E31" s="1028"/>
      <c r="F31" s="1028"/>
      <c r="G31" s="1028"/>
      <c r="H31" s="1028"/>
      <c r="I31" s="1028"/>
      <c r="J31" s="1028"/>
      <c r="K31" s="1029"/>
      <c r="N31" s="986" t="s">
        <v>219</v>
      </c>
      <c r="O31" s="986"/>
      <c r="P31" s="986"/>
      <c r="Q31" s="986"/>
      <c r="R31" s="329">
        <f>R25+R26+R27+R28+R29+R30</f>
        <v>20.833333333333336</v>
      </c>
    </row>
    <row r="32" spans="2:18" s="17" customFormat="1" ht="12.75">
      <c r="B32" s="1030" t="s">
        <v>23</v>
      </c>
      <c r="C32" s="1030"/>
      <c r="D32" s="1030"/>
      <c r="E32" s="1030"/>
      <c r="F32" s="1030"/>
      <c r="G32" s="1030"/>
      <c r="H32" s="1030"/>
      <c r="I32" s="1030"/>
      <c r="J32" s="1030"/>
      <c r="K32" s="1030"/>
      <c r="N32" s="331"/>
      <c r="O32" s="508"/>
      <c r="P32" s="508"/>
      <c r="Q32" s="508"/>
      <c r="R32" s="333"/>
    </row>
    <row r="33" spans="2:19" s="17" customFormat="1" ht="12.75">
      <c r="B33" s="238">
        <v>1</v>
      </c>
      <c r="C33" s="1031" t="s">
        <v>15</v>
      </c>
      <c r="D33" s="1031"/>
      <c r="E33" s="1031"/>
      <c r="F33" s="1031"/>
      <c r="G33" s="1031"/>
      <c r="H33" s="1031"/>
      <c r="I33" s="1031"/>
      <c r="J33" s="489" t="s">
        <v>3</v>
      </c>
      <c r="K33" s="489" t="s">
        <v>1</v>
      </c>
      <c r="N33" s="986" t="s">
        <v>188</v>
      </c>
      <c r="O33" s="986"/>
      <c r="P33" s="986"/>
      <c r="Q33" s="986"/>
      <c r="R33" s="986"/>
    </row>
    <row r="34" spans="2:19" s="17" customFormat="1" ht="12.75">
      <c r="B34" s="238" t="s">
        <v>7</v>
      </c>
      <c r="C34" s="1027" t="s">
        <v>24</v>
      </c>
      <c r="D34" s="1027"/>
      <c r="E34" s="1027"/>
      <c r="F34" s="1027"/>
      <c r="G34" s="1027"/>
      <c r="H34" s="1027"/>
      <c r="I34" s="1027"/>
      <c r="J34" s="275">
        <v>1</v>
      </c>
      <c r="K34" s="276">
        <f>K28</f>
        <v>1532.24</v>
      </c>
      <c r="L34" s="21"/>
      <c r="N34" s="323" t="s">
        <v>114</v>
      </c>
      <c r="O34" s="324" t="s">
        <v>115</v>
      </c>
      <c r="P34" s="324" t="s">
        <v>116</v>
      </c>
      <c r="Q34" s="324" t="s">
        <v>117</v>
      </c>
      <c r="R34" s="324" t="s">
        <v>97</v>
      </c>
    </row>
    <row r="35" spans="2:19" s="17" customFormat="1" ht="12.75">
      <c r="B35" s="238" t="s">
        <v>8</v>
      </c>
      <c r="C35" s="1027" t="s">
        <v>40</v>
      </c>
      <c r="D35" s="1027"/>
      <c r="E35" s="1027"/>
      <c r="F35" s="1027"/>
      <c r="G35" s="1027"/>
      <c r="H35" s="1027"/>
      <c r="I35" s="1027"/>
      <c r="J35" s="261">
        <v>0.3</v>
      </c>
      <c r="K35" s="276">
        <f>K34*J35</f>
        <v>459.67199999999997</v>
      </c>
      <c r="L35" s="21"/>
      <c r="N35" s="328" t="s">
        <v>220</v>
      </c>
      <c r="O35" s="322">
        <v>1</v>
      </c>
      <c r="P35" s="510">
        <v>1200</v>
      </c>
      <c r="Q35" s="326">
        <v>60</v>
      </c>
      <c r="R35" s="516">
        <f>(O35*P35)/Q35</f>
        <v>20</v>
      </c>
    </row>
    <row r="36" spans="2:19" s="17" customFormat="1" ht="12.75">
      <c r="B36" s="238" t="s">
        <v>9</v>
      </c>
      <c r="C36" s="1027" t="s">
        <v>2</v>
      </c>
      <c r="D36" s="1027"/>
      <c r="E36" s="1027"/>
      <c r="F36" s="1027"/>
      <c r="G36" s="1027"/>
      <c r="H36" s="1027"/>
      <c r="I36" s="1027"/>
      <c r="J36" s="261">
        <f>(7%/12%)</f>
        <v>0.58333333333333337</v>
      </c>
      <c r="K36" s="276">
        <f>(K34+K35)*J36*20%</f>
        <v>232.38973333333334</v>
      </c>
      <c r="L36" s="22">
        <v>1.66</v>
      </c>
      <c r="N36" s="328" t="s">
        <v>221</v>
      </c>
      <c r="O36" s="322">
        <v>12</v>
      </c>
      <c r="P36" s="510">
        <v>7</v>
      </c>
      <c r="Q36" s="326">
        <v>60</v>
      </c>
      <c r="R36" s="515">
        <f>O36*P36/Q36</f>
        <v>1.4</v>
      </c>
      <c r="S36" s="23"/>
    </row>
    <row r="37" spans="2:19" s="17" customFormat="1" ht="12.75">
      <c r="B37" s="238" t="s">
        <v>10</v>
      </c>
      <c r="C37" s="1027" t="s">
        <v>109</v>
      </c>
      <c r="D37" s="1027"/>
      <c r="E37" s="1027"/>
      <c r="F37" s="1027"/>
      <c r="G37" s="1027"/>
      <c r="H37" s="1027"/>
      <c r="I37" s="1027"/>
      <c r="J37" s="261">
        <f>(1%/12%)</f>
        <v>8.3333333333333343E-2</v>
      </c>
      <c r="K37" s="276">
        <f>(K34+K35)*J37*1.2</f>
        <v>199.19120000000001</v>
      </c>
      <c r="L37" s="22">
        <v>14.9</v>
      </c>
      <c r="N37" s="986" t="s">
        <v>219</v>
      </c>
      <c r="O37" s="986"/>
      <c r="P37" s="986"/>
      <c r="Q37" s="986"/>
      <c r="R37" s="329">
        <f>R35+R36</f>
        <v>21.4</v>
      </c>
      <c r="S37" s="16"/>
    </row>
    <row r="38" spans="2:19" s="17" customFormat="1" ht="15" hidden="1" customHeight="1">
      <c r="B38" s="238"/>
      <c r="C38" s="243"/>
      <c r="D38" s="1027" t="s">
        <v>111</v>
      </c>
      <c r="E38" s="1027"/>
      <c r="F38" s="1027"/>
      <c r="G38" s="1027"/>
      <c r="H38" s="1027"/>
      <c r="I38" s="1027"/>
      <c r="J38" s="278">
        <v>0</v>
      </c>
      <c r="K38" s="276">
        <f>J38*15</f>
        <v>0</v>
      </c>
      <c r="L38" s="22"/>
      <c r="N38" s="503"/>
      <c r="O38" s="504"/>
      <c r="P38" s="504"/>
      <c r="Q38" s="504"/>
      <c r="R38" s="504"/>
    </row>
    <row r="39" spans="2:19" s="17" customFormat="1" ht="15" hidden="1" customHeight="1">
      <c r="B39" s="238"/>
      <c r="C39" s="489"/>
      <c r="D39" s="1027" t="s">
        <v>110</v>
      </c>
      <c r="E39" s="1027"/>
      <c r="F39" s="1027"/>
      <c r="G39" s="1027"/>
      <c r="H39" s="1027"/>
      <c r="I39" s="1027"/>
      <c r="J39" s="278">
        <v>0</v>
      </c>
      <c r="K39" s="276">
        <f>K38/6</f>
        <v>0</v>
      </c>
      <c r="L39" s="22"/>
      <c r="N39" s="503"/>
      <c r="O39" s="504"/>
      <c r="P39" s="504"/>
      <c r="Q39" s="504"/>
      <c r="R39" s="504"/>
    </row>
    <row r="40" spans="2:19" s="17" customFormat="1" ht="15" hidden="1" customHeight="1">
      <c r="B40" s="238"/>
      <c r="C40" s="489"/>
      <c r="D40" s="1027" t="s">
        <v>112</v>
      </c>
      <c r="E40" s="1027"/>
      <c r="F40" s="1027"/>
      <c r="G40" s="1027"/>
      <c r="H40" s="1027"/>
      <c r="I40" s="1027"/>
      <c r="J40" s="279">
        <v>0</v>
      </c>
      <c r="K40" s="276">
        <f>J40*J36</f>
        <v>0</v>
      </c>
      <c r="L40" s="22"/>
      <c r="N40" s="503"/>
      <c r="O40" s="504"/>
      <c r="P40" s="504"/>
      <c r="Q40" s="504"/>
      <c r="R40" s="504"/>
    </row>
    <row r="41" spans="2:19" s="17" customFormat="1">
      <c r="B41" s="238" t="s">
        <v>11</v>
      </c>
      <c r="C41" s="1027" t="s">
        <v>123</v>
      </c>
      <c r="D41" s="1027"/>
      <c r="E41" s="1027"/>
      <c r="F41" s="1027"/>
      <c r="G41" s="1027"/>
      <c r="H41" s="1027"/>
      <c r="I41" s="1027"/>
      <c r="J41" s="280"/>
      <c r="K41" s="276"/>
      <c r="L41" s="22"/>
      <c r="N41" s="503"/>
      <c r="O41" s="504"/>
      <c r="P41" s="504"/>
      <c r="Q41" s="504"/>
      <c r="R41" s="504"/>
    </row>
    <row r="42" spans="2:19" s="17" customFormat="1">
      <c r="B42" s="1031" t="s">
        <v>95</v>
      </c>
      <c r="C42" s="1031"/>
      <c r="D42" s="1031"/>
      <c r="E42" s="1031"/>
      <c r="F42" s="1031"/>
      <c r="G42" s="1031"/>
      <c r="H42" s="1031"/>
      <c r="I42" s="1031"/>
      <c r="J42" s="1031"/>
      <c r="K42" s="274">
        <f>SUM(K34:K41)</f>
        <v>2423.4929333333334</v>
      </c>
      <c r="L42" s="22"/>
      <c r="N42" s="503"/>
      <c r="O42" s="504"/>
      <c r="P42" s="504"/>
      <c r="Q42" s="504"/>
      <c r="R42" s="504"/>
      <c r="S42" s="23"/>
    </row>
    <row r="43" spans="2:19" s="17" customFormat="1">
      <c r="B43" s="1030" t="s">
        <v>57</v>
      </c>
      <c r="C43" s="1030"/>
      <c r="D43" s="1030"/>
      <c r="E43" s="1030"/>
      <c r="F43" s="1030"/>
      <c r="G43" s="1030"/>
      <c r="H43" s="1030"/>
      <c r="I43" s="1030"/>
      <c r="J43" s="1030"/>
      <c r="K43" s="520">
        <f>SUM(K42)</f>
        <v>2423.4929333333334</v>
      </c>
      <c r="L43" s="22"/>
      <c r="N43" s="503"/>
      <c r="O43" s="1035" t="s">
        <v>241</v>
      </c>
      <c r="P43" s="1035"/>
      <c r="Q43" s="1035"/>
      <c r="R43" s="1035"/>
    </row>
    <row r="44" spans="2:19" s="17" customFormat="1">
      <c r="B44" s="291"/>
      <c r="C44" s="493"/>
      <c r="D44" s="493"/>
      <c r="E44" s="493"/>
      <c r="F44" s="493"/>
      <c r="G44" s="493"/>
      <c r="H44" s="493"/>
      <c r="I44" s="493"/>
      <c r="J44" s="493"/>
      <c r="K44" s="293"/>
      <c r="L44" s="27"/>
      <c r="N44" s="503"/>
      <c r="O44" s="1101" t="s">
        <v>242</v>
      </c>
      <c r="P44" s="1101"/>
      <c r="Q44" s="1101"/>
      <c r="R44" s="1101"/>
    </row>
    <row r="45" spans="2:19" s="17" customFormat="1">
      <c r="B45" s="291"/>
      <c r="C45" s="493"/>
      <c r="D45" s="493"/>
      <c r="E45" s="493"/>
      <c r="F45" s="493"/>
      <c r="G45" s="493"/>
      <c r="H45" s="493"/>
      <c r="I45" s="493"/>
      <c r="J45" s="493"/>
      <c r="K45" s="294"/>
      <c r="L45" s="29"/>
      <c r="N45" s="503"/>
      <c r="O45" s="504"/>
      <c r="P45" s="504"/>
      <c r="Q45" s="504"/>
      <c r="R45" s="504"/>
    </row>
    <row r="46" spans="2:19" s="17" customFormat="1">
      <c r="B46" s="1030" t="s">
        <v>41</v>
      </c>
      <c r="C46" s="1030"/>
      <c r="D46" s="1030"/>
      <c r="E46" s="1030"/>
      <c r="F46" s="1030"/>
      <c r="G46" s="1030"/>
      <c r="H46" s="1030"/>
      <c r="I46" s="1030"/>
      <c r="J46" s="1030"/>
      <c r="K46" s="1030"/>
      <c r="L46" s="29"/>
      <c r="N46" s="503"/>
      <c r="O46" s="504"/>
      <c r="P46" s="504"/>
      <c r="Q46" s="504"/>
      <c r="R46" s="504"/>
    </row>
    <row r="47" spans="2:19" s="17" customFormat="1">
      <c r="B47" s="1034" t="s">
        <v>47</v>
      </c>
      <c r="C47" s="1034"/>
      <c r="D47" s="1034"/>
      <c r="E47" s="1034"/>
      <c r="F47" s="1034"/>
      <c r="G47" s="1034"/>
      <c r="H47" s="1034"/>
      <c r="I47" s="1034"/>
      <c r="J47" s="501" t="s">
        <v>3</v>
      </c>
      <c r="K47" s="501" t="s">
        <v>1</v>
      </c>
      <c r="L47" s="29"/>
      <c r="M47" s="16"/>
      <c r="N47" s="503"/>
      <c r="O47" s="504"/>
      <c r="P47" s="504"/>
      <c r="Q47" s="504"/>
      <c r="R47" s="504"/>
    </row>
    <row r="48" spans="2:19" s="17" customFormat="1">
      <c r="B48" s="238" t="s">
        <v>7</v>
      </c>
      <c r="C48" s="1027" t="s">
        <v>178</v>
      </c>
      <c r="D48" s="1027"/>
      <c r="E48" s="1027"/>
      <c r="F48" s="1027"/>
      <c r="G48" s="1027"/>
      <c r="H48" s="1027"/>
      <c r="I48" s="1027"/>
      <c r="J48" s="411">
        <v>8.3299999999999999E-2</v>
      </c>
      <c r="K48" s="274">
        <f>$K$42*J48</f>
        <v>201.87696134666666</v>
      </c>
      <c r="L48" s="29"/>
      <c r="M48" s="30"/>
      <c r="N48" s="503"/>
      <c r="O48" s="504"/>
      <c r="P48" s="504"/>
      <c r="Q48" s="504"/>
      <c r="R48" s="504"/>
    </row>
    <row r="49" spans="2:18" s="17" customFormat="1">
      <c r="B49" s="238" t="s">
        <v>8</v>
      </c>
      <c r="C49" s="1027" t="s">
        <v>172</v>
      </c>
      <c r="D49" s="1027"/>
      <c r="E49" s="1027"/>
      <c r="F49" s="1027"/>
      <c r="G49" s="1027"/>
      <c r="H49" s="1027"/>
      <c r="I49" s="1027"/>
      <c r="J49" s="411">
        <v>0.1111</v>
      </c>
      <c r="K49" s="274">
        <f>J49*K42</f>
        <v>269.25006489333333</v>
      </c>
      <c r="L49" s="29"/>
      <c r="M49" s="30"/>
      <c r="N49" s="503"/>
      <c r="O49" s="504"/>
      <c r="P49" s="504"/>
      <c r="Q49" s="504"/>
      <c r="R49" s="504"/>
    </row>
    <row r="50" spans="2:18" s="17" customFormat="1">
      <c r="B50" s="1030" t="s">
        <v>43</v>
      </c>
      <c r="C50" s="1030"/>
      <c r="D50" s="1030"/>
      <c r="E50" s="1030"/>
      <c r="F50" s="1030"/>
      <c r="G50" s="1030"/>
      <c r="H50" s="1030"/>
      <c r="I50" s="1030"/>
      <c r="J50" s="259">
        <f>SUM(J48:J49)</f>
        <v>0.19440000000000002</v>
      </c>
      <c r="K50" s="521">
        <f>SUM(K48:K49)</f>
        <v>471.12702623999996</v>
      </c>
      <c r="L50" s="29"/>
      <c r="M50" s="31"/>
      <c r="N50" s="503"/>
      <c r="O50" s="504"/>
      <c r="P50" s="504"/>
      <c r="Q50" s="504"/>
      <c r="R50" s="504"/>
    </row>
    <row r="51" spans="2:18" s="17" customFormat="1">
      <c r="B51" s="1058"/>
      <c r="C51" s="1028"/>
      <c r="D51" s="1028"/>
      <c r="E51" s="1028"/>
      <c r="F51" s="1028"/>
      <c r="G51" s="1028"/>
      <c r="H51" s="1028"/>
      <c r="I51" s="1028"/>
      <c r="J51" s="1028"/>
      <c r="K51" s="1029"/>
      <c r="L51" s="29"/>
      <c r="M51" s="31"/>
      <c r="N51" s="275"/>
      <c r="O51" s="276"/>
      <c r="P51" s="504"/>
      <c r="Q51" s="504"/>
      <c r="R51" s="504"/>
    </row>
    <row r="52" spans="2:18" s="17" customFormat="1">
      <c r="B52" s="1030" t="s">
        <v>48</v>
      </c>
      <c r="C52" s="1030"/>
      <c r="D52" s="1030"/>
      <c r="E52" s="1030"/>
      <c r="F52" s="1030"/>
      <c r="G52" s="1030"/>
      <c r="H52" s="1030"/>
      <c r="I52" s="1030"/>
      <c r="J52" s="502" t="s">
        <v>3</v>
      </c>
      <c r="K52" s="502" t="s">
        <v>1</v>
      </c>
      <c r="L52" s="29"/>
      <c r="M52" s="31"/>
      <c r="N52" s="261"/>
      <c r="O52" s="276"/>
      <c r="P52" s="504"/>
      <c r="Q52" s="504"/>
      <c r="R52" s="504"/>
    </row>
    <row r="53" spans="2:18" s="17" customFormat="1" ht="15" customHeight="1">
      <c r="B53" s="238" t="s">
        <v>7</v>
      </c>
      <c r="C53" s="1068" t="s">
        <v>84</v>
      </c>
      <c r="D53" s="1068"/>
      <c r="E53" s="1068"/>
      <c r="F53" s="1068"/>
      <c r="G53" s="1068"/>
      <c r="H53" s="1068"/>
      <c r="I53" s="1068"/>
      <c r="J53" s="272">
        <v>0.2</v>
      </c>
      <c r="K53" s="273">
        <f>J53*$K$43</f>
        <v>484.6985866666667</v>
      </c>
      <c r="L53" s="29"/>
      <c r="M53" s="31"/>
      <c r="N53" s="261"/>
      <c r="O53" s="276"/>
      <c r="P53" s="504"/>
      <c r="Q53" s="504"/>
      <c r="R53" s="504"/>
    </row>
    <row r="54" spans="2:18" s="17" customFormat="1" ht="14.25" customHeight="1">
      <c r="B54" s="238" t="s">
        <v>8</v>
      </c>
      <c r="C54" s="1068" t="s">
        <v>85</v>
      </c>
      <c r="D54" s="1068"/>
      <c r="E54" s="1068"/>
      <c r="F54" s="1068"/>
      <c r="G54" s="1068"/>
      <c r="H54" s="1068"/>
      <c r="I54" s="1068"/>
      <c r="J54" s="272">
        <v>2.5000000000000001E-2</v>
      </c>
      <c r="K54" s="273">
        <f t="shared" ref="K54:K60" si="4">J54*$K$43</f>
        <v>60.587323333333337</v>
      </c>
      <c r="L54" s="29"/>
      <c r="M54" s="31"/>
      <c r="N54" s="261"/>
      <c r="O54" s="276"/>
      <c r="P54" s="504"/>
      <c r="Q54" s="504"/>
      <c r="R54" s="504"/>
    </row>
    <row r="55" spans="2:18" s="17" customFormat="1" ht="19.5" customHeight="1">
      <c r="B55" s="238" t="s">
        <v>9</v>
      </c>
      <c r="C55" s="1069" t="s">
        <v>285</v>
      </c>
      <c r="D55" s="1069"/>
      <c r="E55" s="1069"/>
      <c r="F55" s="1069"/>
      <c r="G55" s="1069"/>
      <c r="H55" s="1069"/>
      <c r="I55" s="1069"/>
      <c r="J55" s="272">
        <v>1.4999999999999999E-2</v>
      </c>
      <c r="K55" s="273">
        <f t="shared" si="4"/>
        <v>36.352393999999997</v>
      </c>
      <c r="L55" s="29"/>
      <c r="M55" s="32"/>
      <c r="N55" s="278"/>
      <c r="O55" s="276"/>
      <c r="P55" s="504"/>
      <c r="Q55" s="504"/>
      <c r="R55" s="504"/>
    </row>
    <row r="56" spans="2:18" s="17" customFormat="1" ht="14.25" customHeight="1">
      <c r="B56" s="238" t="s">
        <v>10</v>
      </c>
      <c r="C56" s="1068" t="s">
        <v>45</v>
      </c>
      <c r="D56" s="1068"/>
      <c r="E56" s="1068"/>
      <c r="F56" s="1068"/>
      <c r="G56" s="1068"/>
      <c r="H56" s="1068"/>
      <c r="I56" s="1068"/>
      <c r="J56" s="272">
        <v>1.4999999999999999E-2</v>
      </c>
      <c r="K56" s="273">
        <f t="shared" si="4"/>
        <v>36.352393999999997</v>
      </c>
      <c r="L56" s="29"/>
      <c r="M56" s="31"/>
      <c r="N56" s="278"/>
      <c r="O56" s="276"/>
      <c r="P56" s="504"/>
      <c r="Q56" s="504"/>
      <c r="R56" s="504"/>
    </row>
    <row r="57" spans="2:18" s="17" customFormat="1" ht="14.25" customHeight="1">
      <c r="B57" s="238" t="s">
        <v>11</v>
      </c>
      <c r="C57" s="1068" t="s">
        <v>86</v>
      </c>
      <c r="D57" s="1068"/>
      <c r="E57" s="1068"/>
      <c r="F57" s="1068"/>
      <c r="G57" s="1068"/>
      <c r="H57" s="1068"/>
      <c r="I57" s="1068"/>
      <c r="J57" s="272">
        <v>0.01</v>
      </c>
      <c r="K57" s="273">
        <f t="shared" si="4"/>
        <v>24.234929333333334</v>
      </c>
      <c r="L57" s="29"/>
      <c r="M57" s="31"/>
      <c r="N57" s="279"/>
      <c r="O57" s="276"/>
      <c r="P57" s="504"/>
      <c r="Q57" s="504"/>
      <c r="R57" s="504"/>
    </row>
    <row r="58" spans="2:18" s="17" customFormat="1" ht="15" customHeight="1">
      <c r="B58" s="238" t="s">
        <v>12</v>
      </c>
      <c r="C58" s="1069" t="s">
        <v>87</v>
      </c>
      <c r="D58" s="1069"/>
      <c r="E58" s="1069"/>
      <c r="F58" s="1069"/>
      <c r="G58" s="1069"/>
      <c r="H58" s="1069"/>
      <c r="I58" s="1069"/>
      <c r="J58" s="272">
        <v>6.0000000000000001E-3</v>
      </c>
      <c r="K58" s="273">
        <f t="shared" si="4"/>
        <v>14.5409576</v>
      </c>
      <c r="L58" s="29"/>
      <c r="M58" s="31"/>
      <c r="N58" s="280"/>
      <c r="O58" s="276"/>
      <c r="P58" s="504"/>
      <c r="Q58" s="504"/>
      <c r="R58" s="504"/>
    </row>
    <row r="59" spans="2:18" s="17" customFormat="1" ht="15" customHeight="1">
      <c r="B59" s="238" t="s">
        <v>13</v>
      </c>
      <c r="C59" s="1069" t="s">
        <v>88</v>
      </c>
      <c r="D59" s="1069"/>
      <c r="E59" s="1069"/>
      <c r="F59" s="1069"/>
      <c r="G59" s="1069"/>
      <c r="H59" s="1069"/>
      <c r="I59" s="1069"/>
      <c r="J59" s="272">
        <v>2E-3</v>
      </c>
      <c r="K59" s="273">
        <f t="shared" si="4"/>
        <v>4.8469858666666674</v>
      </c>
      <c r="L59" s="29"/>
      <c r="M59" s="31"/>
      <c r="N59" s="503"/>
      <c r="O59" s="504"/>
      <c r="P59" s="504"/>
      <c r="Q59" s="504"/>
      <c r="R59" s="504"/>
    </row>
    <row r="60" spans="2:18" s="17" customFormat="1" ht="15" customHeight="1">
      <c r="B60" s="238" t="s">
        <v>14</v>
      </c>
      <c r="C60" s="1069" t="s">
        <v>89</v>
      </c>
      <c r="D60" s="1069"/>
      <c r="E60" s="1069"/>
      <c r="F60" s="1069"/>
      <c r="G60" s="1069"/>
      <c r="H60" s="1069"/>
      <c r="I60" s="1069"/>
      <c r="J60" s="272">
        <v>0.08</v>
      </c>
      <c r="K60" s="273">
        <f t="shared" si="4"/>
        <v>193.87943466666667</v>
      </c>
      <c r="L60" s="29"/>
      <c r="M60" s="31"/>
      <c r="N60" s="503"/>
      <c r="O60" s="504"/>
      <c r="P60" s="504"/>
      <c r="Q60" s="504"/>
      <c r="R60" s="504"/>
    </row>
    <row r="61" spans="2:18" s="17" customFormat="1">
      <c r="B61" s="1030" t="s">
        <v>46</v>
      </c>
      <c r="C61" s="1030"/>
      <c r="D61" s="1030"/>
      <c r="E61" s="1030"/>
      <c r="F61" s="1030"/>
      <c r="G61" s="1030"/>
      <c r="H61" s="1030"/>
      <c r="I61" s="1030"/>
      <c r="J61" s="259">
        <f>SUM(J53:J60)</f>
        <v>0.35300000000000004</v>
      </c>
      <c r="K61" s="521">
        <f>TRUNC(SUM(K53:K60),2)</f>
        <v>855.49</v>
      </c>
      <c r="L61" s="29"/>
      <c r="M61" s="31"/>
      <c r="N61" s="503"/>
      <c r="O61" s="504"/>
      <c r="P61" s="504"/>
      <c r="Q61" s="504"/>
      <c r="R61" s="504"/>
    </row>
    <row r="62" spans="2:18" s="17" customFormat="1">
      <c r="B62" s="291"/>
      <c r="C62" s="1070"/>
      <c r="D62" s="1070"/>
      <c r="E62" s="1070"/>
      <c r="F62" s="1070"/>
      <c r="G62" s="1070"/>
      <c r="H62" s="1070"/>
      <c r="I62" s="1070"/>
      <c r="J62" s="1070"/>
      <c r="K62" s="1070"/>
      <c r="L62" s="29"/>
      <c r="M62" s="31"/>
      <c r="N62" s="503"/>
      <c r="O62" s="504"/>
      <c r="P62" s="504"/>
      <c r="Q62" s="504"/>
      <c r="R62" s="504"/>
    </row>
    <row r="63" spans="2:18" s="17" customFormat="1">
      <c r="B63" s="1030" t="s">
        <v>49</v>
      </c>
      <c r="C63" s="1030"/>
      <c r="D63" s="1030"/>
      <c r="E63" s="1030"/>
      <c r="F63" s="1030"/>
      <c r="G63" s="1030"/>
      <c r="H63" s="1030"/>
      <c r="I63" s="1030"/>
      <c r="J63" s="1030" t="s">
        <v>1</v>
      </c>
      <c r="K63" s="1030"/>
      <c r="L63" s="29"/>
      <c r="M63" s="31"/>
      <c r="N63" s="503"/>
      <c r="O63" s="504"/>
      <c r="P63" s="504"/>
      <c r="Q63" s="504"/>
      <c r="R63" s="504"/>
    </row>
    <row r="64" spans="2:18" s="17" customFormat="1" ht="13.5" customHeight="1">
      <c r="B64" s="1229" t="s">
        <v>7</v>
      </c>
      <c r="C64" s="1230" t="s">
        <v>113</v>
      </c>
      <c r="D64" s="1230"/>
      <c r="E64" s="1230"/>
      <c r="F64" s="266" t="s">
        <v>90</v>
      </c>
      <c r="G64" s="266" t="s">
        <v>91</v>
      </c>
      <c r="H64" s="266" t="s">
        <v>92</v>
      </c>
      <c r="I64" s="266" t="s">
        <v>93</v>
      </c>
      <c r="J64" s="1231"/>
      <c r="K64" s="1232">
        <f>(F65*G65*H65)-(K34*I65)</f>
        <v>23.565600000000003</v>
      </c>
      <c r="L64" s="29"/>
      <c r="M64" s="30"/>
      <c r="N64" s="503"/>
      <c r="O64" s="504"/>
      <c r="P64" s="504"/>
      <c r="Q64" s="504"/>
      <c r="R64" s="504"/>
    </row>
    <row r="65" spans="2:20" s="17" customFormat="1">
      <c r="B65" s="1229"/>
      <c r="C65" s="1230"/>
      <c r="D65" s="1230"/>
      <c r="E65" s="1230"/>
      <c r="F65" s="267">
        <v>3.85</v>
      </c>
      <c r="G65" s="268">
        <v>2</v>
      </c>
      <c r="H65" s="268">
        <v>15</v>
      </c>
      <c r="I65" s="266">
        <v>0.06</v>
      </c>
      <c r="J65" s="1231"/>
      <c r="K65" s="1232"/>
      <c r="L65" s="29"/>
      <c r="M65" s="31"/>
      <c r="N65" s="503"/>
      <c r="O65" s="504"/>
      <c r="P65" s="504"/>
      <c r="Q65" s="504"/>
      <c r="R65" s="504"/>
      <c r="S65" s="132">
        <f>K34*6%/2</f>
        <v>45.967199999999998</v>
      </c>
      <c r="T65" s="131">
        <f>R65-S65</f>
        <v>-45.967199999999998</v>
      </c>
    </row>
    <row r="66" spans="2:20" s="17" customFormat="1" ht="12.75" customHeight="1">
      <c r="B66" s="269" t="s">
        <v>8</v>
      </c>
      <c r="C66" s="1233" t="s">
        <v>173</v>
      </c>
      <c r="D66" s="1233"/>
      <c r="E66" s="1233"/>
      <c r="F66" s="1233"/>
      <c r="G66" s="1233"/>
      <c r="H66" s="1233"/>
      <c r="I66" s="1233"/>
      <c r="J66" s="491">
        <v>27</v>
      </c>
      <c r="K66" s="271" t="s">
        <v>292</v>
      </c>
      <c r="L66" s="29"/>
      <c r="M66" s="31"/>
      <c r="N66" s="503"/>
      <c r="O66" s="504"/>
      <c r="P66" s="504"/>
      <c r="Q66" s="504"/>
      <c r="R66" s="504"/>
    </row>
    <row r="67" spans="2:20" s="17" customFormat="1" ht="12.75" customHeight="1">
      <c r="B67" s="269" t="s">
        <v>9</v>
      </c>
      <c r="C67" s="1234" t="s">
        <v>98</v>
      </c>
      <c r="D67" s="1234"/>
      <c r="E67" s="1234"/>
      <c r="F67" s="1234"/>
      <c r="G67" s="1234"/>
      <c r="H67" s="1234"/>
      <c r="I67" s="1234"/>
      <c r="J67" s="491">
        <v>5.08</v>
      </c>
      <c r="K67" s="271">
        <f>J67</f>
        <v>5.08</v>
      </c>
      <c r="L67" s="29"/>
      <c r="M67" s="31"/>
      <c r="N67" s="503"/>
      <c r="O67" s="504"/>
      <c r="P67" s="504"/>
      <c r="Q67" s="504"/>
      <c r="R67" s="504"/>
    </row>
    <row r="68" spans="2:20" s="17" customFormat="1">
      <c r="B68" s="269" t="s">
        <v>10</v>
      </c>
      <c r="C68" s="1233" t="s">
        <v>254</v>
      </c>
      <c r="D68" s="1233"/>
      <c r="E68" s="1233"/>
      <c r="F68" s="1233"/>
      <c r="G68" s="1233"/>
      <c r="H68" s="1233"/>
      <c r="I68" s="1233"/>
      <c r="J68" s="491">
        <v>0</v>
      </c>
      <c r="K68" s="271">
        <v>6</v>
      </c>
      <c r="L68" s="29"/>
      <c r="M68" s="31"/>
      <c r="N68" s="503"/>
      <c r="O68" s="504"/>
      <c r="P68" s="504"/>
      <c r="Q68" s="504"/>
      <c r="R68" s="504"/>
    </row>
    <row r="69" spans="2:20" s="17" customFormat="1" ht="12.75" customHeight="1">
      <c r="B69" s="269" t="s">
        <v>11</v>
      </c>
      <c r="C69" s="1235" t="s">
        <v>290</v>
      </c>
      <c r="D69" s="1235"/>
      <c r="E69" s="1235"/>
      <c r="F69" s="1235"/>
      <c r="G69" s="1235"/>
      <c r="H69" s="1235"/>
      <c r="I69" s="1235"/>
      <c r="J69" s="491">
        <v>50</v>
      </c>
      <c r="K69" s="271">
        <v>90</v>
      </c>
      <c r="L69" s="27">
        <f>K43/220</f>
        <v>11.01587696969697</v>
      </c>
      <c r="M69" s="31"/>
      <c r="N69" s="503"/>
      <c r="O69" s="504"/>
      <c r="P69" s="504"/>
      <c r="Q69" s="504"/>
      <c r="R69" s="504"/>
    </row>
    <row r="70" spans="2:20" s="17" customFormat="1" ht="15" customHeight="1">
      <c r="B70" s="269" t="s">
        <v>11</v>
      </c>
      <c r="C70" s="1235" t="s">
        <v>291</v>
      </c>
      <c r="D70" s="1235"/>
      <c r="E70" s="1235"/>
      <c r="F70" s="1235"/>
      <c r="G70" s="1235"/>
      <c r="H70" s="1235"/>
      <c r="I70" s="1235"/>
      <c r="J70" s="491"/>
      <c r="K70" s="271"/>
      <c r="L70" s="27">
        <f>K42/220</f>
        <v>11.01587696969697</v>
      </c>
      <c r="M70" s="31"/>
      <c r="N70" s="503"/>
      <c r="O70" s="504"/>
      <c r="P70" s="504"/>
      <c r="Q70" s="504"/>
      <c r="R70" s="504"/>
    </row>
    <row r="71" spans="2:20" s="17" customFormat="1">
      <c r="B71" s="1030" t="s">
        <v>50</v>
      </c>
      <c r="C71" s="1030"/>
      <c r="D71" s="1030"/>
      <c r="E71" s="1030"/>
      <c r="F71" s="1030"/>
      <c r="G71" s="1030"/>
      <c r="H71" s="1030"/>
      <c r="I71" s="1030"/>
      <c r="J71" s="1030"/>
      <c r="K71" s="520">
        <f>SUM(K64:K70)</f>
        <v>124.6456</v>
      </c>
      <c r="L71" s="29"/>
      <c r="M71" s="31"/>
      <c r="N71" s="503"/>
      <c r="O71" s="504"/>
      <c r="P71" s="504"/>
      <c r="Q71" s="504"/>
      <c r="R71" s="504"/>
    </row>
    <row r="72" spans="2:20" s="17" customFormat="1">
      <c r="B72" s="291"/>
      <c r="C72" s="1041"/>
      <c r="D72" s="1041"/>
      <c r="E72" s="1041"/>
      <c r="F72" s="1041"/>
      <c r="G72" s="1041"/>
      <c r="H72" s="1041"/>
      <c r="I72" s="1041"/>
      <c r="J72" s="1041"/>
      <c r="K72" s="1042"/>
      <c r="L72" s="29"/>
      <c r="M72" s="31"/>
      <c r="N72" s="503"/>
      <c r="O72" s="504"/>
      <c r="P72" s="504"/>
      <c r="Q72" s="504"/>
      <c r="R72" s="504"/>
    </row>
    <row r="73" spans="2:20" s="17" customFormat="1">
      <c r="B73" s="1030" t="s">
        <v>51</v>
      </c>
      <c r="C73" s="1030"/>
      <c r="D73" s="1030"/>
      <c r="E73" s="1030"/>
      <c r="F73" s="1030"/>
      <c r="G73" s="1030"/>
      <c r="H73" s="1030"/>
      <c r="I73" s="1030"/>
      <c r="J73" s="1030"/>
      <c r="K73" s="1030"/>
      <c r="L73" s="29"/>
      <c r="M73" s="31"/>
      <c r="N73" s="503"/>
      <c r="O73" s="504"/>
      <c r="P73" s="504"/>
      <c r="Q73" s="504"/>
      <c r="R73" s="504"/>
    </row>
    <row r="74" spans="2:20" s="17" customFormat="1">
      <c r="B74" s="1030" t="s">
        <v>55</v>
      </c>
      <c r="C74" s="1030"/>
      <c r="D74" s="1030"/>
      <c r="E74" s="1030"/>
      <c r="F74" s="1030"/>
      <c r="G74" s="1030"/>
      <c r="H74" s="1030"/>
      <c r="I74" s="1030"/>
      <c r="J74" s="1030"/>
      <c r="K74" s="502" t="s">
        <v>1</v>
      </c>
      <c r="L74" s="29"/>
      <c r="M74" s="31"/>
      <c r="N74" s="503"/>
      <c r="O74" s="504"/>
      <c r="P74" s="504"/>
      <c r="Q74" s="504"/>
      <c r="R74" s="504"/>
    </row>
    <row r="75" spans="2:20" s="17" customFormat="1">
      <c r="B75" s="494" t="s">
        <v>52</v>
      </c>
      <c r="C75" s="1044" t="s">
        <v>42</v>
      </c>
      <c r="D75" s="1044"/>
      <c r="E75" s="1044"/>
      <c r="F75" s="1044"/>
      <c r="G75" s="1044"/>
      <c r="H75" s="1044"/>
      <c r="I75" s="1044"/>
      <c r="J75" s="1044"/>
      <c r="K75" s="242">
        <f>K50</f>
        <v>471.12702623999996</v>
      </c>
      <c r="L75" s="29"/>
      <c r="M75" s="31"/>
      <c r="N75" s="503"/>
      <c r="O75" s="504"/>
      <c r="P75" s="504"/>
      <c r="Q75" s="504"/>
      <c r="R75" s="504"/>
    </row>
    <row r="76" spans="2:20" s="17" customFormat="1">
      <c r="B76" s="264" t="s">
        <v>53</v>
      </c>
      <c r="C76" s="1044" t="s">
        <v>44</v>
      </c>
      <c r="D76" s="1044"/>
      <c r="E76" s="1044"/>
      <c r="F76" s="1044"/>
      <c r="G76" s="1044"/>
      <c r="H76" s="1044"/>
      <c r="I76" s="1044"/>
      <c r="J76" s="1044"/>
      <c r="K76" s="246">
        <f>K61</f>
        <v>855.49</v>
      </c>
      <c r="L76" s="29"/>
      <c r="M76" s="31"/>
      <c r="N76" s="503"/>
      <c r="O76" s="504"/>
      <c r="P76" s="504"/>
      <c r="Q76" s="504"/>
      <c r="R76" s="504"/>
    </row>
    <row r="77" spans="2:20" s="17" customFormat="1">
      <c r="B77" s="264" t="s">
        <v>54</v>
      </c>
      <c r="C77" s="1044" t="s">
        <v>56</v>
      </c>
      <c r="D77" s="1044"/>
      <c r="E77" s="1044"/>
      <c r="F77" s="1044"/>
      <c r="G77" s="1044"/>
      <c r="H77" s="1044"/>
      <c r="I77" s="1044"/>
      <c r="J77" s="1044"/>
      <c r="K77" s="246">
        <f>K71</f>
        <v>124.6456</v>
      </c>
      <c r="L77" s="29"/>
      <c r="M77" s="31"/>
      <c r="N77" s="503"/>
      <c r="O77" s="504"/>
      <c r="P77" s="504"/>
      <c r="Q77" s="504"/>
      <c r="R77" s="504"/>
    </row>
    <row r="78" spans="2:20" s="17" customFormat="1">
      <c r="B78" s="291"/>
      <c r="C78" s="1031" t="s">
        <v>58</v>
      </c>
      <c r="D78" s="1031"/>
      <c r="E78" s="1031"/>
      <c r="F78" s="1031"/>
      <c r="G78" s="1031"/>
      <c r="H78" s="1031"/>
      <c r="I78" s="1031"/>
      <c r="J78" s="1031"/>
      <c r="K78" s="265">
        <f>TRUNC(SUM(K75:K77),2)</f>
        <v>1451.26</v>
      </c>
      <c r="L78" s="29"/>
      <c r="N78" s="503"/>
      <c r="O78" s="504"/>
      <c r="P78" s="504"/>
      <c r="Q78" s="504"/>
      <c r="R78" s="504"/>
    </row>
    <row r="79" spans="2:20" s="17" customFormat="1">
      <c r="B79" s="1030" t="s">
        <v>59</v>
      </c>
      <c r="C79" s="1030"/>
      <c r="D79" s="1030"/>
      <c r="E79" s="1030"/>
      <c r="F79" s="1030"/>
      <c r="G79" s="1030"/>
      <c r="H79" s="1030"/>
      <c r="I79" s="1030"/>
      <c r="J79" s="1030"/>
      <c r="K79" s="1030"/>
      <c r="L79" s="29"/>
      <c r="N79" s="503"/>
      <c r="O79" s="504"/>
      <c r="P79" s="504"/>
      <c r="Q79" s="504"/>
      <c r="R79" s="504"/>
    </row>
    <row r="80" spans="2:20" s="17" customFormat="1">
      <c r="B80" s="489">
        <v>3</v>
      </c>
      <c r="C80" s="1031" t="s">
        <v>60</v>
      </c>
      <c r="D80" s="1031"/>
      <c r="E80" s="1031"/>
      <c r="F80" s="1031"/>
      <c r="G80" s="1031"/>
      <c r="H80" s="1031"/>
      <c r="I80" s="1031"/>
      <c r="J80" s="489" t="s">
        <v>3</v>
      </c>
      <c r="K80" s="489" t="s">
        <v>1</v>
      </c>
      <c r="L80" s="29"/>
      <c r="M80" s="33"/>
      <c r="N80" s="503"/>
      <c r="O80" s="504"/>
      <c r="P80" s="504"/>
      <c r="Q80" s="504"/>
      <c r="R80" s="504"/>
    </row>
    <row r="81" spans="2:18" s="17" customFormat="1">
      <c r="B81" s="489" t="s">
        <v>7</v>
      </c>
      <c r="C81" s="1051" t="s">
        <v>101</v>
      </c>
      <c r="D81" s="1051"/>
      <c r="E81" s="1051"/>
      <c r="F81" s="1051"/>
      <c r="G81" s="1051"/>
      <c r="H81" s="1051"/>
      <c r="I81" s="1051"/>
      <c r="J81" s="416">
        <v>4.1999999999999997E-3</v>
      </c>
      <c r="K81" s="246">
        <f>K43*J81</f>
        <v>10.17867032</v>
      </c>
      <c r="L81" s="29"/>
      <c r="M81" s="31"/>
      <c r="N81" s="503"/>
      <c r="O81" s="504"/>
      <c r="P81" s="504"/>
      <c r="Q81" s="504"/>
      <c r="R81" s="504"/>
    </row>
    <row r="82" spans="2:18" s="17" customFormat="1">
      <c r="B82" s="489" t="s">
        <v>8</v>
      </c>
      <c r="C82" s="1044" t="s">
        <v>102</v>
      </c>
      <c r="D82" s="1044"/>
      <c r="E82" s="1044"/>
      <c r="F82" s="1044"/>
      <c r="G82" s="1044"/>
      <c r="H82" s="1044"/>
      <c r="I82" s="1044"/>
      <c r="J82" s="417">
        <v>2.9999999999999997E-4</v>
      </c>
      <c r="K82" s="242">
        <f>J82*K43</f>
        <v>0.72704787999999998</v>
      </c>
      <c r="L82" s="29"/>
      <c r="M82" s="33"/>
      <c r="N82" s="503"/>
      <c r="O82" s="504"/>
      <c r="P82" s="504"/>
      <c r="Q82" s="504"/>
      <c r="R82" s="504"/>
    </row>
    <row r="83" spans="2:18" s="17" customFormat="1">
      <c r="B83" s="489" t="s">
        <v>9</v>
      </c>
      <c r="C83" s="1051" t="s">
        <v>103</v>
      </c>
      <c r="D83" s="1051"/>
      <c r="E83" s="1051"/>
      <c r="F83" s="1051"/>
      <c r="G83" s="1051"/>
      <c r="H83" s="1051"/>
      <c r="I83" s="1051"/>
      <c r="J83" s="416">
        <v>1.4E-3</v>
      </c>
      <c r="K83" s="242">
        <f>J83*K42</f>
        <v>3.3928901066666666</v>
      </c>
      <c r="L83" s="29"/>
      <c r="M83" s="31"/>
      <c r="N83" s="503"/>
      <c r="O83" s="504"/>
      <c r="P83" s="504"/>
      <c r="Q83" s="504"/>
      <c r="R83" s="504"/>
    </row>
    <row r="84" spans="2:18" s="17" customFormat="1">
      <c r="B84" s="489" t="s">
        <v>10</v>
      </c>
      <c r="C84" s="1044" t="s">
        <v>104</v>
      </c>
      <c r="D84" s="1044"/>
      <c r="E84" s="1044"/>
      <c r="F84" s="1044"/>
      <c r="G84" s="1044"/>
      <c r="H84" s="1044"/>
      <c r="I84" s="1044"/>
      <c r="J84" s="261">
        <v>1.9E-3</v>
      </c>
      <c r="K84" s="242">
        <f>J84*K42</f>
        <v>4.6046365733333339</v>
      </c>
      <c r="L84" s="29"/>
      <c r="M84" s="31"/>
      <c r="N84" s="503"/>
      <c r="O84" s="504"/>
      <c r="P84" s="504"/>
      <c r="Q84" s="504"/>
      <c r="R84" s="504"/>
    </row>
    <row r="85" spans="2:18" s="17" customFormat="1">
      <c r="B85" s="489" t="s">
        <v>11</v>
      </c>
      <c r="C85" s="1044" t="s">
        <v>105</v>
      </c>
      <c r="D85" s="1044"/>
      <c r="E85" s="1044"/>
      <c r="F85" s="1044"/>
      <c r="G85" s="1044"/>
      <c r="H85" s="1044"/>
      <c r="I85" s="1044"/>
      <c r="J85" s="417">
        <v>6.9999999999999999E-4</v>
      </c>
      <c r="K85" s="242">
        <f>J85*K42</f>
        <v>1.6964450533333333</v>
      </c>
      <c r="L85" s="29"/>
      <c r="M85" s="33"/>
      <c r="N85" s="503"/>
      <c r="O85" s="504"/>
      <c r="P85" s="504"/>
      <c r="Q85" s="504"/>
      <c r="R85" s="504"/>
    </row>
    <row r="86" spans="2:18" s="17" customFormat="1">
      <c r="B86" s="489" t="s">
        <v>12</v>
      </c>
      <c r="C86" s="1051" t="s">
        <v>106</v>
      </c>
      <c r="D86" s="1051"/>
      <c r="E86" s="1051"/>
      <c r="F86" s="1051"/>
      <c r="G86" s="1051"/>
      <c r="H86" s="1051"/>
      <c r="I86" s="1051"/>
      <c r="J86" s="416">
        <v>4.82E-2</v>
      </c>
      <c r="K86" s="242">
        <f>J86*K42</f>
        <v>116.81235938666667</v>
      </c>
      <c r="L86" s="29"/>
      <c r="M86" s="31"/>
      <c r="N86" s="503"/>
      <c r="O86" s="504"/>
      <c r="P86" s="504"/>
      <c r="Q86" s="504"/>
      <c r="R86" s="504"/>
    </row>
    <row r="87" spans="2:18" s="17" customFormat="1">
      <c r="B87" s="1030" t="s">
        <v>61</v>
      </c>
      <c r="C87" s="1030"/>
      <c r="D87" s="1030"/>
      <c r="E87" s="1030"/>
      <c r="F87" s="1030"/>
      <c r="G87" s="1030"/>
      <c r="H87" s="1030"/>
      <c r="I87" s="1030"/>
      <c r="J87" s="522">
        <f>SUM(J81:J86)</f>
        <v>5.67E-2</v>
      </c>
      <c r="K87" s="260">
        <f>TRUNC(SUM(K81:K86),2)</f>
        <v>137.41</v>
      </c>
      <c r="L87" s="29"/>
      <c r="N87" s="503"/>
      <c r="O87" s="504"/>
      <c r="P87" s="504"/>
      <c r="Q87" s="504"/>
      <c r="R87" s="504"/>
    </row>
    <row r="88" spans="2:18" s="17" customFormat="1">
      <c r="B88" s="291"/>
      <c r="C88" s="1052"/>
      <c r="D88" s="1053"/>
      <c r="E88" s="1053"/>
      <c r="F88" s="1053"/>
      <c r="G88" s="1053"/>
      <c r="H88" s="1053"/>
      <c r="I88" s="1053"/>
      <c r="J88" s="1053"/>
      <c r="K88" s="1054"/>
      <c r="L88" s="29"/>
      <c r="N88" s="503"/>
      <c r="O88" s="504"/>
      <c r="P88" s="504"/>
      <c r="Q88" s="504"/>
      <c r="R88" s="504"/>
    </row>
    <row r="89" spans="2:18" s="17" customFormat="1">
      <c r="B89" s="1030" t="s">
        <v>62</v>
      </c>
      <c r="C89" s="1030"/>
      <c r="D89" s="1030"/>
      <c r="E89" s="1030"/>
      <c r="F89" s="1030"/>
      <c r="G89" s="1030"/>
      <c r="H89" s="1030"/>
      <c r="I89" s="1030"/>
      <c r="J89" s="1030"/>
      <c r="K89" s="1030"/>
      <c r="L89" s="29"/>
      <c r="N89" s="503"/>
      <c r="O89" s="504"/>
      <c r="P89" s="504"/>
      <c r="Q89" s="504"/>
      <c r="R89" s="504"/>
    </row>
    <row r="90" spans="2:18" s="17" customFormat="1">
      <c r="B90" s="1031" t="s">
        <v>63</v>
      </c>
      <c r="C90" s="1031"/>
      <c r="D90" s="1031"/>
      <c r="E90" s="1031"/>
      <c r="F90" s="1031"/>
      <c r="G90" s="1031"/>
      <c r="H90" s="1031"/>
      <c r="I90" s="1031"/>
      <c r="J90" s="489" t="s">
        <v>3</v>
      </c>
      <c r="K90" s="489" t="s">
        <v>1</v>
      </c>
      <c r="L90" s="29"/>
      <c r="M90" s="31"/>
      <c r="N90" s="503"/>
      <c r="O90" s="504"/>
      <c r="P90" s="504"/>
      <c r="Q90" s="504"/>
      <c r="R90" s="504"/>
    </row>
    <row r="91" spans="2:18" s="17" customFormat="1">
      <c r="B91" s="489" t="s">
        <v>7</v>
      </c>
      <c r="C91" s="1044" t="s">
        <v>255</v>
      </c>
      <c r="D91" s="1044"/>
      <c r="E91" s="1044"/>
      <c r="F91" s="1044"/>
      <c r="G91" s="1044"/>
      <c r="H91" s="1044"/>
      <c r="I91" s="1044"/>
      <c r="J91" s="418">
        <v>9.2999999999999992E-3</v>
      </c>
      <c r="K91" s="242">
        <f>$K$42*J91</f>
        <v>22.538484279999999</v>
      </c>
      <c r="L91" s="29"/>
      <c r="M91" s="31"/>
      <c r="N91" s="503"/>
      <c r="O91" s="504"/>
      <c r="P91" s="504"/>
      <c r="Q91" s="504"/>
      <c r="R91" s="504"/>
    </row>
    <row r="92" spans="2:18" s="17" customFormat="1">
      <c r="B92" s="243" t="s">
        <v>8</v>
      </c>
      <c r="C92" s="1044" t="s">
        <v>256</v>
      </c>
      <c r="D92" s="1044"/>
      <c r="E92" s="1044"/>
      <c r="F92" s="1044"/>
      <c r="G92" s="1044"/>
      <c r="H92" s="1044"/>
      <c r="I92" s="1044"/>
      <c r="J92" s="418">
        <v>4.0000000000000002E-4</v>
      </c>
      <c r="K92" s="246">
        <f t="shared" ref="K92:K96" si="5">$K$42*J92</f>
        <v>0.96939717333333342</v>
      </c>
      <c r="L92" s="29"/>
      <c r="M92" s="33"/>
      <c r="N92" s="503"/>
      <c r="O92" s="504"/>
      <c r="P92" s="504"/>
      <c r="Q92" s="504"/>
      <c r="R92" s="504"/>
    </row>
    <row r="93" spans="2:18" s="17" customFormat="1">
      <c r="B93" s="243" t="s">
        <v>9</v>
      </c>
      <c r="C93" s="1044" t="s">
        <v>182</v>
      </c>
      <c r="D93" s="1044"/>
      <c r="E93" s="1044"/>
      <c r="F93" s="1044"/>
      <c r="G93" s="1044"/>
      <c r="H93" s="1044"/>
      <c r="I93" s="1044"/>
      <c r="J93" s="418">
        <v>2.0000000000000001E-4</v>
      </c>
      <c r="K93" s="246">
        <f t="shared" si="5"/>
        <v>0.48469858666666671</v>
      </c>
      <c r="L93" s="29"/>
      <c r="M93" s="33"/>
      <c r="N93" s="503"/>
      <c r="O93" s="504"/>
      <c r="P93" s="504"/>
      <c r="Q93" s="504"/>
      <c r="R93" s="504"/>
    </row>
    <row r="94" spans="2:18" s="17" customFormat="1">
      <c r="B94" s="243" t="s">
        <v>10</v>
      </c>
      <c r="C94" s="1044" t="s">
        <v>183</v>
      </c>
      <c r="D94" s="1044"/>
      <c r="E94" s="1044"/>
      <c r="F94" s="1044"/>
      <c r="G94" s="1044"/>
      <c r="H94" s="1044"/>
      <c r="I94" s="1044"/>
      <c r="J94" s="418">
        <v>2.9999999999999997E-4</v>
      </c>
      <c r="K94" s="246">
        <f t="shared" si="5"/>
        <v>0.72704787999999998</v>
      </c>
      <c r="L94" s="29"/>
      <c r="M94" s="31"/>
      <c r="N94" s="503"/>
      <c r="O94" s="504"/>
      <c r="P94" s="504"/>
      <c r="Q94" s="504"/>
      <c r="R94" s="504"/>
    </row>
    <row r="95" spans="2:18" s="17" customFormat="1">
      <c r="B95" s="243" t="s">
        <v>11</v>
      </c>
      <c r="C95" s="1044" t="s">
        <v>184</v>
      </c>
      <c r="D95" s="1044"/>
      <c r="E95" s="1044"/>
      <c r="F95" s="1044"/>
      <c r="G95" s="1044"/>
      <c r="H95" s="1044"/>
      <c r="I95" s="1044"/>
      <c r="J95" s="418">
        <v>5.0000000000000001E-4</v>
      </c>
      <c r="K95" s="246">
        <f t="shared" si="5"/>
        <v>1.2117464666666669</v>
      </c>
      <c r="L95" s="29"/>
      <c r="M95" s="31"/>
      <c r="N95" s="503"/>
      <c r="O95" s="504"/>
      <c r="P95" s="504"/>
      <c r="Q95" s="504"/>
      <c r="R95" s="504"/>
    </row>
    <row r="96" spans="2:18" s="17" customFormat="1">
      <c r="B96" s="243" t="s">
        <v>12</v>
      </c>
      <c r="C96" s="1044" t="s">
        <v>286</v>
      </c>
      <c r="D96" s="1044"/>
      <c r="E96" s="1044"/>
      <c r="F96" s="1044"/>
      <c r="G96" s="1044"/>
      <c r="H96" s="1044"/>
      <c r="I96" s="1044"/>
      <c r="J96" s="418">
        <v>0</v>
      </c>
      <c r="K96" s="246">
        <f t="shared" si="5"/>
        <v>0</v>
      </c>
      <c r="L96" s="29"/>
      <c r="M96" s="31"/>
      <c r="N96" s="503"/>
      <c r="O96" s="504"/>
      <c r="P96" s="504"/>
      <c r="Q96" s="504"/>
      <c r="R96" s="504"/>
    </row>
    <row r="97" spans="2:18" s="17" customFormat="1" ht="13.5" customHeight="1">
      <c r="B97" s="1055" t="s">
        <v>17</v>
      </c>
      <c r="C97" s="1056"/>
      <c r="D97" s="1056"/>
      <c r="E97" s="1056"/>
      <c r="F97" s="1056"/>
      <c r="G97" s="1056"/>
      <c r="H97" s="1056"/>
      <c r="I97" s="1057"/>
      <c r="J97" s="259">
        <f>SUM(J91:J96)</f>
        <v>1.0699999999999999E-2</v>
      </c>
      <c r="K97" s="260">
        <f>SUM(K91:K96)</f>
        <v>25.931374386666668</v>
      </c>
      <c r="L97" s="29"/>
      <c r="M97" s="31"/>
      <c r="N97" s="503"/>
      <c r="O97" s="504"/>
      <c r="P97" s="504"/>
      <c r="Q97" s="504"/>
      <c r="R97" s="504"/>
    </row>
    <row r="98" spans="2:18" s="17" customFormat="1">
      <c r="B98" s="1058"/>
      <c r="C98" s="1028"/>
      <c r="D98" s="1028"/>
      <c r="E98" s="1028"/>
      <c r="F98" s="1028"/>
      <c r="G98" s="1028"/>
      <c r="H98" s="1028"/>
      <c r="I98" s="1028"/>
      <c r="J98" s="1028"/>
      <c r="K98" s="1029"/>
      <c r="L98" s="29"/>
      <c r="N98" s="503"/>
      <c r="O98" s="504"/>
      <c r="P98" s="504"/>
      <c r="Q98" s="504"/>
      <c r="R98" s="504"/>
    </row>
    <row r="99" spans="2:18" s="17" customFormat="1">
      <c r="B99" s="1055" t="s">
        <v>289</v>
      </c>
      <c r="C99" s="1056"/>
      <c r="D99" s="1056"/>
      <c r="E99" s="1056"/>
      <c r="F99" s="1056"/>
      <c r="G99" s="1056"/>
      <c r="H99" s="1056"/>
      <c r="I99" s="1056"/>
      <c r="J99" s="1057"/>
      <c r="K99" s="502" t="s">
        <v>1</v>
      </c>
      <c r="L99" s="29"/>
      <c r="N99" s="503"/>
      <c r="O99" s="504"/>
      <c r="P99" s="504"/>
      <c r="Q99" s="504"/>
      <c r="R99" s="504"/>
    </row>
    <row r="100" spans="2:18" s="17" customFormat="1">
      <c r="B100" s="489" t="s">
        <v>7</v>
      </c>
      <c r="C100" s="1038" t="s">
        <v>67</v>
      </c>
      <c r="D100" s="1039"/>
      <c r="E100" s="1039"/>
      <c r="F100" s="1039"/>
      <c r="G100" s="1039"/>
      <c r="H100" s="1039"/>
      <c r="I100" s="1039"/>
      <c r="J100" s="1040"/>
      <c r="K100" s="242">
        <f>((K34+K35)/220)*1.5*15</f>
        <v>203.7182727272727</v>
      </c>
      <c r="L100" s="29"/>
      <c r="N100" s="503"/>
      <c r="O100" s="504"/>
      <c r="P100" s="504"/>
      <c r="Q100" s="504"/>
      <c r="R100" s="504"/>
    </row>
    <row r="101" spans="2:18" s="17" customFormat="1">
      <c r="B101" s="1055" t="s">
        <v>257</v>
      </c>
      <c r="C101" s="1056"/>
      <c r="D101" s="1056"/>
      <c r="E101" s="1056"/>
      <c r="F101" s="1056"/>
      <c r="G101" s="1056"/>
      <c r="H101" s="1056"/>
      <c r="I101" s="1056"/>
      <c r="J101" s="1057"/>
      <c r="K101" s="260">
        <f>K100</f>
        <v>203.7182727272727</v>
      </c>
      <c r="L101" s="29"/>
      <c r="N101" s="503"/>
      <c r="O101" s="504"/>
      <c r="P101" s="504"/>
      <c r="Q101" s="504"/>
      <c r="R101" s="504"/>
    </row>
    <row r="102" spans="2:18" s="17" customFormat="1">
      <c r="B102" s="490"/>
      <c r="C102" s="487"/>
      <c r="D102" s="487"/>
      <c r="E102" s="487"/>
      <c r="F102" s="487"/>
      <c r="G102" s="487"/>
      <c r="H102" s="487"/>
      <c r="I102" s="487"/>
      <c r="J102" s="487"/>
      <c r="K102" s="488"/>
      <c r="L102" s="29"/>
      <c r="N102" s="503"/>
      <c r="O102" s="504"/>
      <c r="P102" s="504"/>
      <c r="Q102" s="504"/>
      <c r="R102" s="504"/>
    </row>
    <row r="103" spans="2:18" s="17" customFormat="1">
      <c r="B103" s="1030" t="s">
        <v>65</v>
      </c>
      <c r="C103" s="1030"/>
      <c r="D103" s="1030"/>
      <c r="E103" s="1030"/>
      <c r="F103" s="1030"/>
      <c r="G103" s="1030"/>
      <c r="H103" s="1030"/>
      <c r="I103" s="1030"/>
      <c r="J103" s="1030"/>
      <c r="K103" s="1030"/>
      <c r="L103" s="29"/>
      <c r="N103" s="503"/>
      <c r="O103" s="504"/>
      <c r="P103" s="504"/>
      <c r="Q103" s="504"/>
      <c r="R103" s="504"/>
    </row>
    <row r="104" spans="2:18" s="17" customFormat="1">
      <c r="B104" s="1030" t="s">
        <v>66</v>
      </c>
      <c r="C104" s="1030"/>
      <c r="D104" s="1030"/>
      <c r="E104" s="1030"/>
      <c r="F104" s="1030"/>
      <c r="G104" s="1030"/>
      <c r="H104" s="1030"/>
      <c r="I104" s="1030"/>
      <c r="J104" s="1030"/>
      <c r="K104" s="502" t="s">
        <v>1</v>
      </c>
      <c r="L104" s="29">
        <v>21.6</v>
      </c>
      <c r="N104" s="503"/>
      <c r="O104" s="504"/>
      <c r="P104" s="504"/>
      <c r="Q104" s="504"/>
      <c r="R104" s="504"/>
    </row>
    <row r="105" spans="2:18" s="17" customFormat="1">
      <c r="B105" s="489" t="s">
        <v>19</v>
      </c>
      <c r="C105" s="1038" t="s">
        <v>64</v>
      </c>
      <c r="D105" s="1039"/>
      <c r="E105" s="1039"/>
      <c r="F105" s="1039"/>
      <c r="G105" s="1039"/>
      <c r="H105" s="1039"/>
      <c r="I105" s="1039"/>
      <c r="J105" s="1040"/>
      <c r="K105" s="242">
        <f>K97</f>
        <v>25.931374386666668</v>
      </c>
      <c r="L105" s="29"/>
      <c r="N105" s="503"/>
      <c r="O105" s="504"/>
      <c r="P105" s="504"/>
      <c r="Q105" s="504"/>
      <c r="R105" s="504"/>
    </row>
    <row r="106" spans="2:18" s="17" customFormat="1">
      <c r="B106" s="243" t="s">
        <v>20</v>
      </c>
      <c r="C106" s="1027" t="s">
        <v>67</v>
      </c>
      <c r="D106" s="1027"/>
      <c r="E106" s="1027"/>
      <c r="F106" s="1027"/>
      <c r="G106" s="1027"/>
      <c r="H106" s="1027"/>
      <c r="I106" s="1027"/>
      <c r="J106" s="1027"/>
      <c r="K106" s="253">
        <f>((K34+K35)/220)*1.5*15</f>
        <v>203.7182727272727</v>
      </c>
      <c r="L106" s="29"/>
      <c r="N106" s="503"/>
      <c r="O106" s="504"/>
      <c r="P106" s="504"/>
      <c r="Q106" s="504"/>
      <c r="R106" s="504"/>
    </row>
    <row r="107" spans="2:18" s="17" customFormat="1">
      <c r="B107" s="1031" t="s">
        <v>68</v>
      </c>
      <c r="C107" s="1031"/>
      <c r="D107" s="1031"/>
      <c r="E107" s="1031"/>
      <c r="F107" s="1031"/>
      <c r="G107" s="1031"/>
      <c r="H107" s="1031"/>
      <c r="I107" s="1031"/>
      <c r="J107" s="1031"/>
      <c r="K107" s="249">
        <f>TRUNC(SUM(K105:K106),2)</f>
        <v>229.64</v>
      </c>
      <c r="L107" s="29"/>
      <c r="N107" s="503"/>
      <c r="O107" s="504"/>
      <c r="P107" s="504"/>
      <c r="Q107" s="504"/>
      <c r="R107" s="504"/>
    </row>
    <row r="108" spans="2:18" s="17" customFormat="1">
      <c r="B108" s="1030" t="s">
        <v>99</v>
      </c>
      <c r="C108" s="1030"/>
      <c r="D108" s="1030"/>
      <c r="E108" s="1030"/>
      <c r="F108" s="1030"/>
      <c r="G108" s="1030"/>
      <c r="H108" s="1030"/>
      <c r="I108" s="1030"/>
      <c r="J108" s="259">
        <f>J97+J87+J61+J50</f>
        <v>0.61480000000000001</v>
      </c>
      <c r="K108" s="520">
        <f>K97+K87+K61+K50</f>
        <v>1489.9584006266666</v>
      </c>
      <c r="L108" s="29"/>
      <c r="N108" s="503"/>
      <c r="O108" s="504"/>
      <c r="P108" s="504"/>
      <c r="Q108" s="504"/>
      <c r="R108" s="504"/>
    </row>
    <row r="109" spans="2:18" s="17" customFormat="1">
      <c r="B109" s="1058"/>
      <c r="C109" s="1028"/>
      <c r="D109" s="1028"/>
      <c r="E109" s="1028"/>
      <c r="F109" s="1028"/>
      <c r="G109" s="1028"/>
      <c r="H109" s="1028"/>
      <c r="I109" s="1028"/>
      <c r="J109" s="1028"/>
      <c r="K109" s="1029"/>
      <c r="L109" s="29"/>
      <c r="N109" s="503"/>
      <c r="O109" s="504"/>
      <c r="P109" s="504"/>
      <c r="Q109" s="504"/>
      <c r="R109" s="504"/>
    </row>
    <row r="110" spans="2:18" s="17" customFormat="1">
      <c r="B110" s="1030" t="s">
        <v>69</v>
      </c>
      <c r="C110" s="1030"/>
      <c r="D110" s="1030"/>
      <c r="E110" s="1030"/>
      <c r="F110" s="1030"/>
      <c r="G110" s="1030"/>
      <c r="H110" s="1030"/>
      <c r="I110" s="1030"/>
      <c r="J110" s="1030"/>
      <c r="K110" s="1030"/>
      <c r="L110" s="29"/>
      <c r="N110" s="503"/>
      <c r="O110" s="504"/>
      <c r="P110" s="504"/>
      <c r="Q110" s="504"/>
      <c r="R110" s="504"/>
    </row>
    <row r="111" spans="2:18" s="17" customFormat="1">
      <c r="B111" s="502">
        <v>5</v>
      </c>
      <c r="C111" s="1055" t="s">
        <v>16</v>
      </c>
      <c r="D111" s="1056"/>
      <c r="E111" s="1056"/>
      <c r="F111" s="1056"/>
      <c r="G111" s="1056"/>
      <c r="H111" s="1056"/>
      <c r="I111" s="1056"/>
      <c r="J111" s="1057"/>
      <c r="K111" s="502" t="s">
        <v>1</v>
      </c>
      <c r="L111" s="29"/>
      <c r="N111" s="503"/>
      <c r="O111" s="504"/>
      <c r="P111" s="504"/>
      <c r="Q111" s="504"/>
      <c r="R111" s="504"/>
    </row>
    <row r="112" spans="2:18" s="17" customFormat="1">
      <c r="B112" s="489" t="s">
        <v>7</v>
      </c>
      <c r="C112" s="1038" t="s">
        <v>107</v>
      </c>
      <c r="D112" s="1039"/>
      <c r="E112" s="1039"/>
      <c r="F112" s="1039"/>
      <c r="G112" s="1039"/>
      <c r="H112" s="1039"/>
      <c r="I112" s="1040"/>
      <c r="J112" s="238" t="s">
        <v>0</v>
      </c>
      <c r="K112" s="242">
        <f>R21</f>
        <v>68.366666666666674</v>
      </c>
      <c r="L112" s="29"/>
      <c r="N112" s="503"/>
      <c r="O112" s="504"/>
      <c r="P112" s="504"/>
      <c r="Q112" s="504"/>
      <c r="R112" s="504"/>
    </row>
    <row r="113" spans="2:19" s="17" customFormat="1">
      <c r="B113" s="489" t="s">
        <v>8</v>
      </c>
      <c r="C113" s="1038" t="s">
        <v>191</v>
      </c>
      <c r="D113" s="1039"/>
      <c r="E113" s="1039"/>
      <c r="F113" s="1039"/>
      <c r="G113" s="1039"/>
      <c r="H113" s="1039"/>
      <c r="I113" s="1040"/>
      <c r="J113" s="238" t="s">
        <v>0</v>
      </c>
      <c r="K113" s="242">
        <f>R31+R37</f>
        <v>42.233333333333334</v>
      </c>
      <c r="L113" s="29"/>
      <c r="N113" s="503"/>
      <c r="O113" s="504"/>
      <c r="P113" s="504"/>
      <c r="Q113" s="504"/>
      <c r="R113" s="504"/>
    </row>
    <row r="114" spans="2:19" s="17" customFormat="1">
      <c r="B114" s="250" t="s">
        <v>9</v>
      </c>
      <c r="C114" s="1027" t="s">
        <v>192</v>
      </c>
      <c r="D114" s="1027"/>
      <c r="E114" s="1027"/>
      <c r="F114" s="1027"/>
      <c r="G114" s="1027"/>
      <c r="H114" s="1027"/>
      <c r="I114" s="1027"/>
      <c r="J114" s="238" t="s">
        <v>0</v>
      </c>
      <c r="K114" s="242">
        <v>0</v>
      </c>
      <c r="L114" s="29"/>
      <c r="N114" s="503"/>
      <c r="O114" s="504"/>
      <c r="P114" s="504"/>
      <c r="Q114" s="504"/>
      <c r="R114" s="504"/>
    </row>
    <row r="115" spans="2:19" s="17" customFormat="1">
      <c r="B115" s="1083" t="s">
        <v>70</v>
      </c>
      <c r="C115" s="1083"/>
      <c r="D115" s="1083"/>
      <c r="E115" s="1083"/>
      <c r="F115" s="1083"/>
      <c r="G115" s="1083"/>
      <c r="H115" s="1083"/>
      <c r="I115" s="1083"/>
      <c r="J115" s="419" t="s">
        <v>0</v>
      </c>
      <c r="K115" s="415">
        <f>TRUNC(SUM(K112:K114),2)</f>
        <v>110.6</v>
      </c>
      <c r="L115" s="29"/>
      <c r="N115" s="503"/>
      <c r="O115" s="504"/>
      <c r="P115" s="504"/>
      <c r="Q115" s="504"/>
      <c r="R115" s="504"/>
    </row>
    <row r="116" spans="2:19" s="17" customFormat="1">
      <c r="B116" s="1084" t="s">
        <v>71</v>
      </c>
      <c r="C116" s="1084"/>
      <c r="D116" s="1084"/>
      <c r="E116" s="1084"/>
      <c r="F116" s="1084"/>
      <c r="G116" s="1084"/>
      <c r="H116" s="1084"/>
      <c r="I116" s="1084"/>
      <c r="J116" s="1084"/>
      <c r="K116" s="1084"/>
      <c r="L116" s="29"/>
      <c r="N116" s="503"/>
      <c r="O116" s="504"/>
      <c r="P116" s="504"/>
      <c r="Q116" s="504"/>
      <c r="R116" s="504"/>
      <c r="S116" s="128"/>
    </row>
    <row r="117" spans="2:19" s="17" customFormat="1">
      <c r="B117" s="489">
        <v>6</v>
      </c>
      <c r="C117" s="1085" t="s">
        <v>18</v>
      </c>
      <c r="D117" s="1085"/>
      <c r="E117" s="1085"/>
      <c r="F117" s="1085"/>
      <c r="G117" s="1085"/>
      <c r="H117" s="1085"/>
      <c r="I117" s="1085"/>
      <c r="J117" s="489" t="s">
        <v>3</v>
      </c>
      <c r="K117" s="489" t="s">
        <v>1</v>
      </c>
      <c r="N117" s="503"/>
      <c r="O117" s="504"/>
      <c r="P117" s="504"/>
      <c r="Q117" s="504"/>
      <c r="R117" s="504"/>
    </row>
    <row r="118" spans="2:19" s="17" customFormat="1">
      <c r="B118" s="489" t="s">
        <v>7</v>
      </c>
      <c r="C118" s="1044" t="s">
        <v>21</v>
      </c>
      <c r="D118" s="1044"/>
      <c r="E118" s="1044"/>
      <c r="F118" s="1044"/>
      <c r="G118" s="1044"/>
      <c r="H118" s="1044"/>
      <c r="I118" s="1044"/>
      <c r="J118" s="411">
        <v>7.0000000000000007E-2</v>
      </c>
      <c r="K118" s="355">
        <f>TRUNC(J118*K143,2)</f>
        <v>304.66000000000003</v>
      </c>
      <c r="L118" s="25"/>
      <c r="N118" s="503"/>
      <c r="O118" s="504"/>
      <c r="P118" s="504"/>
      <c r="Q118" s="504"/>
      <c r="R118" s="504"/>
    </row>
    <row r="119" spans="2:19" s="17" customFormat="1">
      <c r="B119" s="243" t="s">
        <v>8</v>
      </c>
      <c r="C119" s="1044" t="s">
        <v>4</v>
      </c>
      <c r="D119" s="1044"/>
      <c r="E119" s="1044"/>
      <c r="F119" s="1044"/>
      <c r="G119" s="1044"/>
      <c r="H119" s="1044"/>
      <c r="I119" s="1044"/>
      <c r="J119" s="411">
        <v>7.0000000000000007E-2</v>
      </c>
      <c r="K119" s="355">
        <f>TRUNC(J119*(K118+K143),2)</f>
        <v>325.99</v>
      </c>
      <c r="N119" s="503"/>
      <c r="O119" s="504"/>
      <c r="P119" s="504"/>
      <c r="Q119" s="504"/>
      <c r="R119" s="504"/>
    </row>
    <row r="120" spans="2:19" s="17" customFormat="1">
      <c r="B120" s="500" t="s">
        <v>9</v>
      </c>
      <c r="C120" s="1086" t="s">
        <v>28</v>
      </c>
      <c r="D120" s="1087"/>
      <c r="E120" s="1087"/>
      <c r="F120" s="1087"/>
      <c r="G120" s="1087"/>
      <c r="H120" s="1087"/>
      <c r="I120" s="1087"/>
      <c r="J120" s="1088"/>
      <c r="K120" s="1089"/>
      <c r="L120" s="25">
        <f>K148</f>
        <v>1</v>
      </c>
      <c r="M120" s="16" t="e">
        <f>[1]RESUMO!#REF!</f>
        <v>#REF!</v>
      </c>
      <c r="N120" s="503"/>
      <c r="O120" s="504"/>
      <c r="P120" s="504"/>
      <c r="Q120" s="504"/>
      <c r="R120" s="504"/>
    </row>
    <row r="121" spans="2:19" s="17" customFormat="1">
      <c r="B121" s="243" t="s">
        <v>29</v>
      </c>
      <c r="C121" s="1044" t="s">
        <v>82</v>
      </c>
      <c r="D121" s="1044"/>
      <c r="E121" s="1044"/>
      <c r="F121" s="1044"/>
      <c r="G121" s="1044"/>
      <c r="H121" s="1044"/>
      <c r="I121" s="1044"/>
      <c r="J121" s="245">
        <v>6.4999999999999997E-3</v>
      </c>
      <c r="K121" s="426">
        <f>TRUNC(J121*K132,2)</f>
        <v>34.69</v>
      </c>
      <c r="N121" s="503"/>
      <c r="O121" s="504"/>
      <c r="P121" s="504"/>
      <c r="Q121" s="504"/>
      <c r="R121" s="504"/>
    </row>
    <row r="122" spans="2:19" s="17" customFormat="1">
      <c r="B122" s="243" t="s">
        <v>29</v>
      </c>
      <c r="C122" s="1044" t="s">
        <v>77</v>
      </c>
      <c r="D122" s="1044"/>
      <c r="E122" s="1044"/>
      <c r="F122" s="1044"/>
      <c r="G122" s="1044"/>
      <c r="H122" s="1044"/>
      <c r="I122" s="1044"/>
      <c r="J122" s="245">
        <v>0.03</v>
      </c>
      <c r="K122" s="426">
        <f>TRUNC(J122*K132,2)</f>
        <v>160.13999999999999</v>
      </c>
      <c r="N122" s="503"/>
      <c r="O122" s="504"/>
      <c r="P122" s="504"/>
      <c r="Q122" s="504"/>
      <c r="R122" s="504"/>
    </row>
    <row r="123" spans="2:19" s="17" customFormat="1">
      <c r="B123" s="243" t="s">
        <v>30</v>
      </c>
      <c r="C123" s="1044" t="s">
        <v>80</v>
      </c>
      <c r="D123" s="1044"/>
      <c r="E123" s="1044"/>
      <c r="F123" s="1044"/>
      <c r="G123" s="1044"/>
      <c r="H123" s="1044"/>
      <c r="I123" s="1044"/>
      <c r="J123" s="247" t="s">
        <v>79</v>
      </c>
      <c r="K123" s="426">
        <v>0</v>
      </c>
      <c r="N123" s="503"/>
      <c r="O123" s="504"/>
      <c r="P123" s="504"/>
      <c r="Q123" s="504"/>
      <c r="R123" s="504"/>
      <c r="S123" s="127"/>
    </row>
    <row r="124" spans="2:19" s="17" customFormat="1">
      <c r="B124" s="243" t="s">
        <v>31</v>
      </c>
      <c r="C124" s="1044" t="s">
        <v>78</v>
      </c>
      <c r="D124" s="1044"/>
      <c r="E124" s="1044"/>
      <c r="F124" s="1044"/>
      <c r="G124" s="1044"/>
      <c r="H124" s="1044"/>
      <c r="I124" s="1044"/>
      <c r="J124" s="245">
        <v>0.03</v>
      </c>
      <c r="K124" s="426">
        <f>TRUNC(J124*K132,2)</f>
        <v>160.13999999999999</v>
      </c>
      <c r="N124" s="503"/>
      <c r="O124" s="504"/>
      <c r="P124" s="504"/>
      <c r="Q124" s="504"/>
      <c r="R124" s="504"/>
    </row>
    <row r="125" spans="2:19" s="17" customFormat="1">
      <c r="B125" s="1080" t="s">
        <v>72</v>
      </c>
      <c r="C125" s="1080"/>
      <c r="D125" s="1080"/>
      <c r="E125" s="1080"/>
      <c r="F125" s="1080"/>
      <c r="G125" s="1080"/>
      <c r="H125" s="1080"/>
      <c r="I125" s="1080"/>
      <c r="J125" s="420">
        <f>SUM(J118:J124)</f>
        <v>0.20650000000000002</v>
      </c>
      <c r="K125" s="523">
        <f>TRUNC(SUM(K118:K124),2)</f>
        <v>985.62</v>
      </c>
      <c r="N125" s="503"/>
      <c r="O125" s="504"/>
      <c r="P125" s="504"/>
      <c r="Q125" s="504"/>
      <c r="R125" s="504"/>
    </row>
    <row r="126" spans="2:19" s="17" customFormat="1">
      <c r="B126" s="291"/>
      <c r="C126" s="487"/>
      <c r="D126" s="1081"/>
      <c r="E126" s="1081"/>
      <c r="F126" s="1081"/>
      <c r="G126" s="1081"/>
      <c r="H126" s="1081"/>
      <c r="I126" s="1081"/>
      <c r="J126" s="1081"/>
      <c r="K126" s="1082"/>
      <c r="M126" s="21"/>
      <c r="N126" s="503"/>
      <c r="O126" s="504"/>
      <c r="P126" s="504"/>
      <c r="Q126" s="504"/>
      <c r="R126" s="504"/>
    </row>
    <row r="127" spans="2:19" s="17" customFormat="1">
      <c r="B127" s="300" t="s">
        <v>32</v>
      </c>
      <c r="C127" s="301"/>
      <c r="D127" s="1071" t="s">
        <v>33</v>
      </c>
      <c r="E127" s="1071"/>
      <c r="F127" s="1071"/>
      <c r="G127" s="1071"/>
      <c r="H127" s="1071"/>
      <c r="I127" s="1072"/>
      <c r="J127" s="1073">
        <f>TRUNC(J121+J122+J124,4)</f>
        <v>6.6500000000000004E-2</v>
      </c>
      <c r="K127" s="1074"/>
      <c r="N127" s="503"/>
      <c r="O127" s="504"/>
      <c r="P127" s="504"/>
      <c r="Q127" s="504"/>
      <c r="R127" s="504"/>
    </row>
    <row r="128" spans="2:19" s="17" customFormat="1">
      <c r="B128" s="233"/>
      <c r="C128" s="302"/>
      <c r="D128" s="1077">
        <v>100</v>
      </c>
      <c r="E128" s="1078"/>
      <c r="F128" s="1078"/>
      <c r="G128" s="1078"/>
      <c r="H128" s="1078"/>
      <c r="I128" s="1079"/>
      <c r="J128" s="1075"/>
      <c r="K128" s="1076"/>
      <c r="M128" s="34"/>
      <c r="N128" s="503"/>
      <c r="O128" s="504"/>
      <c r="P128" s="504"/>
      <c r="Q128" s="504"/>
      <c r="R128" s="504"/>
    </row>
    <row r="129" spans="2:18" s="17" customFormat="1">
      <c r="B129" s="311"/>
      <c r="C129" s="310"/>
      <c r="D129" s="496"/>
      <c r="E129" s="496"/>
      <c r="F129" s="496"/>
      <c r="G129" s="496"/>
      <c r="H129" s="496"/>
      <c r="I129" s="497"/>
      <c r="J129" s="498"/>
      <c r="K129" s="413"/>
      <c r="N129" s="503"/>
      <c r="O129" s="504"/>
      <c r="P129" s="504"/>
      <c r="Q129" s="504"/>
      <c r="R129" s="504"/>
    </row>
    <row r="130" spans="2:18" s="17" customFormat="1">
      <c r="B130" s="233" t="s">
        <v>34</v>
      </c>
      <c r="C130" s="302"/>
      <c r="D130" s="1078" t="s">
        <v>73</v>
      </c>
      <c r="E130" s="1078"/>
      <c r="F130" s="1078"/>
      <c r="G130" s="1078"/>
      <c r="H130" s="1078"/>
      <c r="I130" s="1079"/>
      <c r="J130" s="499"/>
      <c r="K130" s="429">
        <f>TRUNC(K143+K118+K119,2)</f>
        <v>4983.05</v>
      </c>
      <c r="N130" s="503"/>
      <c r="O130" s="504"/>
      <c r="P130" s="504"/>
      <c r="Q130" s="504"/>
      <c r="R130" s="504"/>
    </row>
    <row r="131" spans="2:18" s="17" customFormat="1">
      <c r="B131" s="300"/>
      <c r="C131" s="301"/>
      <c r="D131" s="496"/>
      <c r="E131" s="496"/>
      <c r="F131" s="496"/>
      <c r="G131" s="496"/>
      <c r="H131" s="496"/>
      <c r="I131" s="497"/>
      <c r="J131" s="498"/>
      <c r="K131" s="414"/>
      <c r="N131" s="503"/>
      <c r="O131" s="504"/>
      <c r="P131" s="504"/>
      <c r="Q131" s="504"/>
      <c r="R131" s="504"/>
    </row>
    <row r="132" spans="2:18" s="17" customFormat="1">
      <c r="B132" s="233" t="s">
        <v>35</v>
      </c>
      <c r="C132" s="302"/>
      <c r="D132" s="1078" t="s">
        <v>36</v>
      </c>
      <c r="E132" s="1078"/>
      <c r="F132" s="1078"/>
      <c r="G132" s="1078"/>
      <c r="H132" s="1078"/>
      <c r="I132" s="1079"/>
      <c r="J132" s="499"/>
      <c r="K132" s="429">
        <f>K130/(1-J127)</f>
        <v>5338.0289234065349</v>
      </c>
      <c r="M132" s="34"/>
      <c r="N132" s="503"/>
      <c r="O132" s="504"/>
      <c r="P132" s="504"/>
      <c r="Q132" s="504"/>
      <c r="R132" s="504"/>
    </row>
    <row r="133" spans="2:18" s="17" customFormat="1">
      <c r="B133" s="492"/>
      <c r="C133" s="301"/>
      <c r="D133" s="496"/>
      <c r="E133" s="496"/>
      <c r="F133" s="496"/>
      <c r="G133" s="496"/>
      <c r="H133" s="496"/>
      <c r="I133" s="497"/>
      <c r="J133" s="498"/>
      <c r="K133" s="414"/>
      <c r="M133" s="34"/>
      <c r="N133" s="503"/>
      <c r="O133" s="504"/>
      <c r="P133" s="504"/>
      <c r="Q133" s="504"/>
      <c r="R133" s="504"/>
    </row>
    <row r="134" spans="2:18" s="17" customFormat="1">
      <c r="B134" s="291"/>
      <c r="C134" s="302"/>
      <c r="D134" s="1078" t="s">
        <v>37</v>
      </c>
      <c r="E134" s="1078"/>
      <c r="F134" s="1078"/>
      <c r="G134" s="1078"/>
      <c r="H134" s="1078"/>
      <c r="I134" s="1079"/>
      <c r="J134" s="499"/>
      <c r="K134" s="429">
        <f>TRUNC(K132-K130,2)</f>
        <v>354.97</v>
      </c>
      <c r="N134" s="503"/>
      <c r="O134" s="504"/>
      <c r="P134" s="504"/>
      <c r="Q134" s="504"/>
      <c r="R134" s="504"/>
    </row>
    <row r="135" spans="2:18" s="17" customFormat="1">
      <c r="B135" s="291"/>
      <c r="C135" s="487"/>
      <c r="D135" s="487"/>
      <c r="E135" s="487"/>
      <c r="F135" s="487"/>
      <c r="G135" s="487"/>
      <c r="H135" s="487"/>
      <c r="I135" s="487"/>
      <c r="J135" s="487"/>
      <c r="K135" s="295"/>
      <c r="M135" s="21"/>
      <c r="N135" s="503"/>
      <c r="O135" s="504"/>
      <c r="P135" s="504"/>
      <c r="Q135" s="504"/>
      <c r="R135" s="504"/>
    </row>
    <row r="136" spans="2:18" s="17" customFormat="1">
      <c r="B136" s="1064" t="s">
        <v>83</v>
      </c>
      <c r="C136" s="1064"/>
      <c r="D136" s="1064"/>
      <c r="E136" s="1064"/>
      <c r="F136" s="1064"/>
      <c r="G136" s="1064"/>
      <c r="H136" s="1064"/>
      <c r="I136" s="1064"/>
      <c r="J136" s="1064"/>
      <c r="K136" s="1064"/>
      <c r="N136" s="503"/>
      <c r="O136" s="504"/>
      <c r="P136" s="504"/>
      <c r="Q136" s="504"/>
      <c r="R136" s="504"/>
    </row>
    <row r="137" spans="2:18" s="17" customFormat="1">
      <c r="B137" s="1065" t="s">
        <v>22</v>
      </c>
      <c r="C137" s="1065"/>
      <c r="D137" s="1065"/>
      <c r="E137" s="1065"/>
      <c r="F137" s="1065"/>
      <c r="G137" s="1065"/>
      <c r="H137" s="1065"/>
      <c r="I137" s="1065"/>
      <c r="J137" s="1065"/>
      <c r="K137" s="500" t="s">
        <v>1</v>
      </c>
      <c r="N137" s="503"/>
      <c r="O137" s="504"/>
      <c r="P137" s="504"/>
      <c r="Q137" s="504"/>
      <c r="R137" s="504"/>
    </row>
    <row r="138" spans="2:18" s="17" customFormat="1">
      <c r="B138" s="238" t="s">
        <v>7</v>
      </c>
      <c r="C138" s="1044" t="str">
        <f>B32</f>
        <v>MÓDULO 1 - COMPOSIÇÃO DA REMUNERAÇÃO</v>
      </c>
      <c r="D138" s="1044"/>
      <c r="E138" s="1044"/>
      <c r="F138" s="1044"/>
      <c r="G138" s="1044"/>
      <c r="H138" s="1044"/>
      <c r="I138" s="1044"/>
      <c r="J138" s="1044"/>
      <c r="K138" s="355">
        <f>K43</f>
        <v>2423.4929333333334</v>
      </c>
      <c r="N138" s="503"/>
      <c r="O138" s="504"/>
      <c r="P138" s="504"/>
      <c r="Q138" s="504"/>
      <c r="R138" s="504"/>
    </row>
    <row r="139" spans="2:18" s="17" customFormat="1">
      <c r="B139" s="240" t="s">
        <v>8</v>
      </c>
      <c r="C139" s="1044" t="str">
        <f>B46</f>
        <v>MÓDULO 2 – ENCARGOS E BENEFÍCIOS ANUAIS, MENSAIS E DIÁRIOS</v>
      </c>
      <c r="D139" s="1044"/>
      <c r="E139" s="1044"/>
      <c r="F139" s="1044"/>
      <c r="G139" s="1044"/>
      <c r="H139" s="1044"/>
      <c r="I139" s="1044"/>
      <c r="J139" s="1044"/>
      <c r="K139" s="426">
        <f>K78</f>
        <v>1451.26</v>
      </c>
      <c r="N139" s="503">
        <v>5218.5</v>
      </c>
      <c r="O139" s="504"/>
      <c r="P139" s="504"/>
      <c r="Q139" s="504"/>
      <c r="R139" s="504"/>
    </row>
    <row r="140" spans="2:18" s="17" customFormat="1">
      <c r="B140" s="240" t="s">
        <v>9</v>
      </c>
      <c r="C140" s="1044" t="str">
        <f>B79</f>
        <v>MÓDULO 3 – PROVISÃO PARA RESCISÃO</v>
      </c>
      <c r="D140" s="1044"/>
      <c r="E140" s="1044"/>
      <c r="F140" s="1044"/>
      <c r="G140" s="1044"/>
      <c r="H140" s="1044"/>
      <c r="I140" s="1044"/>
      <c r="J140" s="1044"/>
      <c r="K140" s="426">
        <f>K87</f>
        <v>137.41</v>
      </c>
      <c r="N140" s="503">
        <f>N139*2</f>
        <v>10437</v>
      </c>
      <c r="O140" s="504">
        <v>10437</v>
      </c>
      <c r="P140" s="504"/>
      <c r="Q140" s="504"/>
      <c r="R140" s="504"/>
    </row>
    <row r="141" spans="2:18" s="17" customFormat="1">
      <c r="B141" s="238" t="s">
        <v>10</v>
      </c>
      <c r="C141" s="1044" t="str">
        <f>B89</f>
        <v>MÓDULO 4 – CUSTO DE REPOSIÇÃO DO PROFISSIONAL AUSENTE</v>
      </c>
      <c r="D141" s="1044"/>
      <c r="E141" s="1044"/>
      <c r="F141" s="1044"/>
      <c r="G141" s="1044"/>
      <c r="H141" s="1044"/>
      <c r="I141" s="1044"/>
      <c r="J141" s="1044"/>
      <c r="K141" s="426">
        <f>K107</f>
        <v>229.64</v>
      </c>
      <c r="N141" s="503">
        <f>N140*2</f>
        <v>20874</v>
      </c>
      <c r="O141" s="504"/>
      <c r="P141" s="504"/>
      <c r="Q141" s="504"/>
      <c r="R141" s="504"/>
    </row>
    <row r="142" spans="2:18" s="17" customFormat="1" ht="15.75" thickBot="1">
      <c r="B142" s="424" t="s">
        <v>11</v>
      </c>
      <c r="C142" s="1061" t="str">
        <f>B110</f>
        <v>MÓDULO 5 – INSUMOS DIVERSOS</v>
      </c>
      <c r="D142" s="1061"/>
      <c r="E142" s="1061"/>
      <c r="F142" s="1061"/>
      <c r="G142" s="1061"/>
      <c r="H142" s="1061"/>
      <c r="I142" s="1061"/>
      <c r="J142" s="1061"/>
      <c r="K142" s="427">
        <f>K115</f>
        <v>110.6</v>
      </c>
      <c r="N142" s="503">
        <f>N141*12</f>
        <v>250488</v>
      </c>
      <c r="O142" s="504"/>
      <c r="P142" s="504"/>
      <c r="Q142" s="504"/>
      <c r="R142" s="504"/>
    </row>
    <row r="143" spans="2:18" s="17" customFormat="1">
      <c r="B143" s="1062" t="s">
        <v>74</v>
      </c>
      <c r="C143" s="1063"/>
      <c r="D143" s="1063"/>
      <c r="E143" s="1063"/>
      <c r="F143" s="1063"/>
      <c r="G143" s="1063"/>
      <c r="H143" s="1063"/>
      <c r="I143" s="1063"/>
      <c r="J143" s="1063"/>
      <c r="K143" s="430">
        <f>TRUNC(SUM(K138:K142),2)</f>
        <v>4352.3999999999996</v>
      </c>
      <c r="L143" s="16"/>
      <c r="M143" s="34">
        <v>4822.8100000000004</v>
      </c>
      <c r="N143" s="503"/>
      <c r="O143" s="504"/>
      <c r="P143" s="504"/>
      <c r="Q143" s="504"/>
      <c r="R143" s="504"/>
    </row>
    <row r="144" spans="2:18" s="17" customFormat="1" ht="15.75" thickBot="1">
      <c r="B144" s="425" t="s">
        <v>13</v>
      </c>
      <c r="C144" s="1061" t="str">
        <f>B116</f>
        <v>MÓDULO 6 – CUSTOS INDIRETOS, TRIBUTOS E LUCRO</v>
      </c>
      <c r="D144" s="1061"/>
      <c r="E144" s="1061"/>
      <c r="F144" s="1061"/>
      <c r="G144" s="1061"/>
      <c r="H144" s="1061"/>
      <c r="I144" s="1061"/>
      <c r="J144" s="1061"/>
      <c r="K144" s="428">
        <f>K125</f>
        <v>985.62</v>
      </c>
      <c r="M144" s="36">
        <v>7</v>
      </c>
      <c r="N144" s="503"/>
      <c r="O144" s="504"/>
      <c r="P144" s="504"/>
      <c r="Q144" s="504"/>
      <c r="R144" s="504"/>
    </row>
    <row r="145" spans="2:18" s="17" customFormat="1">
      <c r="B145" s="1064" t="s">
        <v>75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f>(K143+K119+K118)/(1-J127)</f>
        <v>5338.028923406534</v>
      </c>
      <c r="M145" s="34">
        <f>M143*M144</f>
        <v>33759.670000000006</v>
      </c>
      <c r="N145" s="503"/>
      <c r="O145" s="504"/>
      <c r="P145" s="504"/>
      <c r="Q145" s="504"/>
      <c r="R145" s="504"/>
    </row>
    <row r="146" spans="2:18" s="17" customFormat="1">
      <c r="B146" s="1064" t="s">
        <v>100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v>2</v>
      </c>
      <c r="M146" s="34"/>
      <c r="N146" s="503"/>
      <c r="O146" s="504"/>
      <c r="P146" s="504"/>
      <c r="Q146" s="504"/>
      <c r="R146" s="504"/>
    </row>
    <row r="147" spans="2:18" s="17" customFormat="1">
      <c r="B147" s="1064" t="s">
        <v>143</v>
      </c>
      <c r="C147" s="1064"/>
      <c r="D147" s="1064"/>
      <c r="E147" s="1064"/>
      <c r="F147" s="1064"/>
      <c r="G147" s="1064"/>
      <c r="H147" s="1064"/>
      <c r="I147" s="1064"/>
      <c r="J147" s="1064"/>
      <c r="K147" s="347">
        <f>K145*K146</f>
        <v>10676.057846813068</v>
      </c>
      <c r="M147" s="34"/>
      <c r="N147" s="503"/>
      <c r="O147" s="504"/>
      <c r="P147" s="504"/>
      <c r="Q147" s="504"/>
      <c r="R147" s="504"/>
    </row>
    <row r="148" spans="2:18" s="17" customFormat="1">
      <c r="B148" s="1064" t="s">
        <v>122</v>
      </c>
      <c r="C148" s="1064"/>
      <c r="D148" s="1064"/>
      <c r="E148" s="1064"/>
      <c r="F148" s="1064"/>
      <c r="G148" s="1064"/>
      <c r="H148" s="1064"/>
      <c r="I148" s="1064"/>
      <c r="J148" s="1064"/>
      <c r="K148" s="347">
        <v>1</v>
      </c>
      <c r="M148" s="34">
        <f>M145*12</f>
        <v>405116.04000000004</v>
      </c>
      <c r="N148" s="503"/>
      <c r="O148" s="504"/>
      <c r="P148" s="504"/>
      <c r="Q148" s="504"/>
      <c r="R148" s="504"/>
    </row>
    <row r="149" spans="2:18" s="17" customFormat="1">
      <c r="B149" s="1064" t="s">
        <v>144</v>
      </c>
      <c r="C149" s="1064"/>
      <c r="D149" s="1064"/>
      <c r="E149" s="1064"/>
      <c r="F149" s="1064"/>
      <c r="G149" s="1064"/>
      <c r="H149" s="1064"/>
      <c r="I149" s="1064"/>
      <c r="J149" s="1064"/>
      <c r="K149" s="347">
        <f>K147*K148</f>
        <v>10676.057846813068</v>
      </c>
      <c r="N149" s="503"/>
      <c r="O149" s="504"/>
      <c r="P149" s="504"/>
      <c r="Q149" s="504"/>
      <c r="R149" s="504"/>
    </row>
    <row r="150" spans="2:18" s="17" customFormat="1" ht="15" customHeight="1">
      <c r="B150" s="1064" t="s">
        <v>145</v>
      </c>
      <c r="C150" s="1064"/>
      <c r="D150" s="1064"/>
      <c r="E150" s="1064"/>
      <c r="F150" s="1064"/>
      <c r="G150" s="1064"/>
      <c r="H150" s="1064"/>
      <c r="I150" s="1064"/>
      <c r="J150" s="1064"/>
      <c r="K150" s="347">
        <f>K149*12</f>
        <v>128112.69416175681</v>
      </c>
      <c r="L150" s="412" t="e">
        <f>K145+#REF!</f>
        <v>#REF!</v>
      </c>
      <c r="N150" s="503"/>
      <c r="O150" s="504"/>
      <c r="P150" s="504"/>
      <c r="Q150" s="504"/>
      <c r="R150" s="504"/>
    </row>
    <row r="151" spans="2:18" s="17" customFormat="1">
      <c r="B151" s="1053"/>
      <c r="C151" s="1053"/>
      <c r="D151" s="1053"/>
      <c r="E151" s="1053"/>
      <c r="F151" s="1053"/>
      <c r="G151" s="1053"/>
      <c r="H151" s="1053"/>
      <c r="I151" s="1053"/>
      <c r="J151" s="1053"/>
      <c r="K151" s="1053"/>
      <c r="N151" s="503"/>
      <c r="O151" s="504"/>
      <c r="P151" s="504"/>
      <c r="Q151" s="504"/>
      <c r="R151" s="504"/>
    </row>
    <row r="152" spans="2:18" s="17" customFormat="1">
      <c r="B152" s="234"/>
      <c r="C152" s="421"/>
      <c r="D152" s="421"/>
      <c r="E152" s="421"/>
      <c r="F152" s="421"/>
      <c r="G152" s="421"/>
      <c r="H152" s="421"/>
      <c r="I152" s="421"/>
      <c r="J152" s="421"/>
      <c r="K152" s="421"/>
      <c r="N152" s="503"/>
      <c r="O152" s="504"/>
      <c r="P152" s="504"/>
      <c r="Q152" s="504"/>
      <c r="R152" s="504"/>
    </row>
    <row r="153" spans="2:18" ht="15.75">
      <c r="B153" s="422"/>
      <c r="C153" s="422"/>
      <c r="D153" s="422"/>
      <c r="E153" s="422"/>
      <c r="F153" s="422"/>
      <c r="G153" s="422"/>
      <c r="H153" s="524"/>
      <c r="I153" s="524"/>
      <c r="J153" s="524"/>
      <c r="K153" s="524"/>
    </row>
    <row r="154" spans="2:18" ht="15.75">
      <c r="B154" s="422"/>
      <c r="C154" s="422"/>
      <c r="D154" s="422"/>
      <c r="E154" s="422"/>
      <c r="F154" s="422"/>
      <c r="G154" s="422"/>
      <c r="H154" s="524"/>
      <c r="I154" s="524"/>
      <c r="J154" s="524"/>
      <c r="K154" s="524"/>
    </row>
    <row r="155" spans="2:18" ht="15.75">
      <c r="B155" s="422"/>
      <c r="C155" s="422"/>
      <c r="D155" s="422"/>
      <c r="E155" s="422"/>
      <c r="F155" s="422"/>
      <c r="G155" s="422"/>
      <c r="H155" s="1059" t="s">
        <v>241</v>
      </c>
      <c r="I155" s="1059"/>
      <c r="J155" s="1059"/>
      <c r="K155" s="1059"/>
    </row>
    <row r="156" spans="2:18" ht="15.75">
      <c r="B156" s="422"/>
      <c r="C156" s="422"/>
      <c r="D156" s="422"/>
      <c r="E156" s="422"/>
      <c r="F156" s="422"/>
      <c r="G156" s="422"/>
      <c r="H156" s="1060" t="s">
        <v>242</v>
      </c>
      <c r="I156" s="1060"/>
      <c r="J156" s="1060"/>
      <c r="K156" s="1060"/>
    </row>
    <row r="157" spans="2:18">
      <c r="B157" s="422"/>
      <c r="C157" s="422"/>
      <c r="D157" s="422"/>
      <c r="E157" s="422"/>
      <c r="F157" s="422"/>
      <c r="G157" s="422"/>
      <c r="H157" s="422"/>
      <c r="I157" s="422"/>
      <c r="J157" s="422"/>
      <c r="K157" s="422"/>
    </row>
    <row r="158" spans="2:18">
      <c r="B158" s="422"/>
      <c r="C158" s="422"/>
      <c r="D158" s="422"/>
      <c r="E158" s="422"/>
      <c r="F158" s="422"/>
      <c r="G158" s="422"/>
      <c r="H158" s="422"/>
      <c r="I158" s="422"/>
      <c r="J158" s="422"/>
      <c r="K158" s="422"/>
    </row>
  </sheetData>
  <mergeCells count="164">
    <mergeCell ref="B148:J148"/>
    <mergeCell ref="B149:J149"/>
    <mergeCell ref="B150:J150"/>
    <mergeCell ref="B151:K151"/>
    <mergeCell ref="H155:K155"/>
    <mergeCell ref="H156:K156"/>
    <mergeCell ref="C142:J142"/>
    <mergeCell ref="B143:J143"/>
    <mergeCell ref="C144:J144"/>
    <mergeCell ref="B145:J145"/>
    <mergeCell ref="B146:J146"/>
    <mergeCell ref="B147:J147"/>
    <mergeCell ref="B136:K136"/>
    <mergeCell ref="B137:J137"/>
    <mergeCell ref="C138:J138"/>
    <mergeCell ref="C139:J139"/>
    <mergeCell ref="C140:J140"/>
    <mergeCell ref="C141:J141"/>
    <mergeCell ref="D127:I127"/>
    <mergeCell ref="J127:K128"/>
    <mergeCell ref="D128:I128"/>
    <mergeCell ref="D130:I130"/>
    <mergeCell ref="D132:I132"/>
    <mergeCell ref="D134:I134"/>
    <mergeCell ref="C121:I121"/>
    <mergeCell ref="C122:I122"/>
    <mergeCell ref="C123:I123"/>
    <mergeCell ref="C124:I124"/>
    <mergeCell ref="B125:I125"/>
    <mergeCell ref="D126:K126"/>
    <mergeCell ref="B115:I115"/>
    <mergeCell ref="B116:K116"/>
    <mergeCell ref="C117:I117"/>
    <mergeCell ref="C118:I118"/>
    <mergeCell ref="C119:I119"/>
    <mergeCell ref="C120:K120"/>
    <mergeCell ref="B109:K109"/>
    <mergeCell ref="B110:K110"/>
    <mergeCell ref="C111:J111"/>
    <mergeCell ref="C112:I112"/>
    <mergeCell ref="C113:I113"/>
    <mergeCell ref="C114:I114"/>
    <mergeCell ref="B103:K103"/>
    <mergeCell ref="B104:J104"/>
    <mergeCell ref="C105:J105"/>
    <mergeCell ref="C106:J106"/>
    <mergeCell ref="B107:J107"/>
    <mergeCell ref="B108:I108"/>
    <mergeCell ref="C96:I96"/>
    <mergeCell ref="B97:I97"/>
    <mergeCell ref="B98:K98"/>
    <mergeCell ref="B99:J99"/>
    <mergeCell ref="C100:J100"/>
    <mergeCell ref="B101:J101"/>
    <mergeCell ref="B90:I90"/>
    <mergeCell ref="C91:I91"/>
    <mergeCell ref="C92:I92"/>
    <mergeCell ref="C93:I93"/>
    <mergeCell ref="C94:I94"/>
    <mergeCell ref="C95:I95"/>
    <mergeCell ref="C84:I84"/>
    <mergeCell ref="C85:I85"/>
    <mergeCell ref="C86:I86"/>
    <mergeCell ref="B87:I87"/>
    <mergeCell ref="C88:K88"/>
    <mergeCell ref="B89:K89"/>
    <mergeCell ref="C78:J78"/>
    <mergeCell ref="B79:K79"/>
    <mergeCell ref="C80:I80"/>
    <mergeCell ref="C81:I81"/>
    <mergeCell ref="C82:I82"/>
    <mergeCell ref="C83:I83"/>
    <mergeCell ref="C72:K72"/>
    <mergeCell ref="B73:K73"/>
    <mergeCell ref="B74:J74"/>
    <mergeCell ref="C75:J75"/>
    <mergeCell ref="C76:J76"/>
    <mergeCell ref="C77:J77"/>
    <mergeCell ref="C66:I66"/>
    <mergeCell ref="C67:I67"/>
    <mergeCell ref="C68:I68"/>
    <mergeCell ref="C69:I69"/>
    <mergeCell ref="C70:I70"/>
    <mergeCell ref="B71:J71"/>
    <mergeCell ref="B63:I63"/>
    <mergeCell ref="J63:K63"/>
    <mergeCell ref="B64:B65"/>
    <mergeCell ref="C64:E65"/>
    <mergeCell ref="J64:J65"/>
    <mergeCell ref="K64:K65"/>
    <mergeCell ref="C57:I57"/>
    <mergeCell ref="C58:I58"/>
    <mergeCell ref="C59:I59"/>
    <mergeCell ref="C60:I60"/>
    <mergeCell ref="B61:I61"/>
    <mergeCell ref="C62:K62"/>
    <mergeCell ref="B51:K51"/>
    <mergeCell ref="B52:I52"/>
    <mergeCell ref="C53:I53"/>
    <mergeCell ref="C54:I54"/>
    <mergeCell ref="C55:I55"/>
    <mergeCell ref="C56:I56"/>
    <mergeCell ref="O44:R44"/>
    <mergeCell ref="B46:K46"/>
    <mergeCell ref="B47:I47"/>
    <mergeCell ref="C48:I48"/>
    <mergeCell ref="C49:I49"/>
    <mergeCell ref="B50:I50"/>
    <mergeCell ref="D39:I39"/>
    <mergeCell ref="D40:I40"/>
    <mergeCell ref="C41:I41"/>
    <mergeCell ref="B42:J42"/>
    <mergeCell ref="B43:J43"/>
    <mergeCell ref="O43:R43"/>
    <mergeCell ref="C34:I34"/>
    <mergeCell ref="C35:I35"/>
    <mergeCell ref="C36:I36"/>
    <mergeCell ref="C37:I37"/>
    <mergeCell ref="N37:Q37"/>
    <mergeCell ref="D38:I38"/>
    <mergeCell ref="C29:J29"/>
    <mergeCell ref="C30:J30"/>
    <mergeCell ref="C31:K31"/>
    <mergeCell ref="N31:Q31"/>
    <mergeCell ref="B32:K32"/>
    <mergeCell ref="C33:I33"/>
    <mergeCell ref="N33:R33"/>
    <mergeCell ref="B23:K23"/>
    <mergeCell ref="N23:R23"/>
    <mergeCell ref="B25:K25"/>
    <mergeCell ref="C26:J26"/>
    <mergeCell ref="C27:J27"/>
    <mergeCell ref="C28:J28"/>
    <mergeCell ref="B18:K18"/>
    <mergeCell ref="B20:G20"/>
    <mergeCell ref="I20:K20"/>
    <mergeCell ref="B21:G21"/>
    <mergeCell ref="I21:K21"/>
    <mergeCell ref="N21:Q21"/>
    <mergeCell ref="C14:G14"/>
    <mergeCell ref="H14:K14"/>
    <mergeCell ref="C15:G15"/>
    <mergeCell ref="H15:K15"/>
    <mergeCell ref="C16:G16"/>
    <mergeCell ref="H16:K16"/>
    <mergeCell ref="C9:G9"/>
    <mergeCell ref="H9:K9"/>
    <mergeCell ref="H10:K10"/>
    <mergeCell ref="B11:K11"/>
    <mergeCell ref="B12:K12"/>
    <mergeCell ref="C13:G13"/>
    <mergeCell ref="H13:K13"/>
    <mergeCell ref="B5:K5"/>
    <mergeCell ref="B6:K6"/>
    <mergeCell ref="N6:R6"/>
    <mergeCell ref="H7:K7"/>
    <mergeCell ref="C8:G8"/>
    <mergeCell ref="H8:K8"/>
    <mergeCell ref="B2:K2"/>
    <mergeCell ref="N2:R2"/>
    <mergeCell ref="B3:K3"/>
    <mergeCell ref="N3:R3"/>
    <mergeCell ref="B4:I4"/>
    <mergeCell ref="N4:R4"/>
  </mergeCells>
  <pageMargins left="0.51181102362204722" right="0.51181102362204722" top="0.85" bottom="0.19" header="0.12" footer="0.12"/>
  <pageSetup paperSize="9" scale="65" orientation="portrait" horizontalDpi="360" verticalDpi="360" r:id="rId1"/>
  <headerFooter>
    <oddHeader>&amp;L&amp;G&amp;R&amp;G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29"/>
  <sheetViews>
    <sheetView topLeftCell="J1" zoomScale="150" zoomScaleNormal="150" workbookViewId="0">
      <selection activeCell="G10" sqref="G10:J10"/>
    </sheetView>
  </sheetViews>
  <sheetFormatPr defaultRowHeight="11.25"/>
  <cols>
    <col min="1" max="1" width="5.28515625" style="224" customWidth="1"/>
    <col min="2" max="2" width="5" style="133" customWidth="1"/>
    <col min="3" max="3" width="40.140625" style="133" customWidth="1"/>
    <col min="4" max="4" width="8.7109375" style="133" customWidth="1"/>
    <col min="5" max="5" width="7.42578125" style="133" customWidth="1"/>
    <col min="6" max="6" width="10" style="133" customWidth="1"/>
    <col min="7" max="7" width="8.140625" style="133" customWidth="1"/>
    <col min="8" max="8" width="6.85546875" style="133" customWidth="1"/>
    <col min="9" max="9" width="7.85546875" style="224" customWidth="1"/>
    <col min="10" max="10" width="11.28515625" style="133" customWidth="1"/>
    <col min="11" max="11" width="11.140625" style="133" customWidth="1"/>
    <col min="12" max="12" width="14" style="133" customWidth="1"/>
    <col min="13" max="13" width="26.140625" style="133" customWidth="1"/>
    <col min="14" max="14" width="9.140625" style="133"/>
    <col min="15" max="15" width="10.85546875" style="133" bestFit="1" customWidth="1"/>
    <col min="16" max="16384" width="9.140625" style="133"/>
  </cols>
  <sheetData>
    <row r="1" spans="1:14" ht="12" thickBot="1">
      <c r="A1" s="877" t="s">
        <v>149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</row>
    <row r="2" spans="1:14">
      <c r="A2" s="878" t="s">
        <v>193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80"/>
    </row>
    <row r="3" spans="1:14">
      <c r="A3" s="881"/>
      <c r="B3" s="882"/>
      <c r="C3" s="882"/>
      <c r="D3" s="882"/>
      <c r="E3" s="882"/>
      <c r="F3" s="882"/>
      <c r="G3" s="882"/>
      <c r="H3" s="882"/>
      <c r="I3" s="882"/>
      <c r="J3" s="882"/>
      <c r="K3" s="882"/>
      <c r="L3" s="883"/>
    </row>
    <row r="4" spans="1:14">
      <c r="A4" s="881"/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3"/>
    </row>
    <row r="5" spans="1:14">
      <c r="A5" s="143" t="s">
        <v>7</v>
      </c>
      <c r="B5" s="134" t="s">
        <v>8</v>
      </c>
      <c r="C5" s="134" t="s">
        <v>9</v>
      </c>
      <c r="D5" s="134" t="s">
        <v>10</v>
      </c>
      <c r="E5" s="134" t="s">
        <v>11</v>
      </c>
      <c r="F5" s="134" t="s">
        <v>12</v>
      </c>
      <c r="G5" s="134" t="s">
        <v>13</v>
      </c>
      <c r="H5" s="134" t="s">
        <v>14</v>
      </c>
      <c r="I5" s="134" t="s">
        <v>150</v>
      </c>
      <c r="J5" s="135" t="s">
        <v>151</v>
      </c>
      <c r="K5" s="135" t="s">
        <v>152</v>
      </c>
      <c r="L5" s="144" t="s">
        <v>153</v>
      </c>
    </row>
    <row r="6" spans="1:14" ht="33" customHeight="1">
      <c r="A6" s="145" t="s">
        <v>154</v>
      </c>
      <c r="B6" s="140" t="s">
        <v>142</v>
      </c>
      <c r="C6" s="140" t="s">
        <v>155</v>
      </c>
      <c r="D6" s="140" t="s">
        <v>156</v>
      </c>
      <c r="E6" s="150" t="s">
        <v>195</v>
      </c>
      <c r="F6" s="140" t="s">
        <v>170</v>
      </c>
      <c r="G6" s="140" t="s">
        <v>171</v>
      </c>
      <c r="H6" s="140" t="s">
        <v>157</v>
      </c>
      <c r="I6" s="185" t="s">
        <v>214</v>
      </c>
      <c r="J6" s="141" t="s">
        <v>158</v>
      </c>
      <c r="K6" s="142" t="s">
        <v>167</v>
      </c>
      <c r="L6" s="146" t="s">
        <v>161</v>
      </c>
      <c r="M6" s="184"/>
    </row>
    <row r="7" spans="1:14" ht="18.75" customHeight="1">
      <c r="A7" s="884">
        <v>1</v>
      </c>
      <c r="B7" s="886">
        <v>1</v>
      </c>
      <c r="C7" s="888" t="s">
        <v>197</v>
      </c>
      <c r="D7" s="886" t="s">
        <v>159</v>
      </c>
      <c r="E7" s="890" t="s">
        <v>194</v>
      </c>
      <c r="F7" s="886">
        <v>1</v>
      </c>
      <c r="G7" s="892">
        <v>4</v>
      </c>
      <c r="H7" s="892">
        <v>12</v>
      </c>
      <c r="I7" s="186" t="s">
        <v>212</v>
      </c>
      <c r="J7" s="183" t="e">
        <f>#REF!</f>
        <v>#REF!</v>
      </c>
      <c r="K7" s="873" t="e">
        <f>J7+J8</f>
        <v>#REF!</v>
      </c>
      <c r="L7" s="875" t="e">
        <f>K7*12</f>
        <v>#REF!</v>
      </c>
    </row>
    <row r="8" spans="1:14" ht="25.5" customHeight="1">
      <c r="A8" s="885"/>
      <c r="B8" s="887"/>
      <c r="C8" s="889"/>
      <c r="D8" s="887"/>
      <c r="E8" s="891"/>
      <c r="F8" s="887"/>
      <c r="G8" s="893"/>
      <c r="H8" s="893"/>
      <c r="I8" s="136" t="s">
        <v>213</v>
      </c>
      <c r="J8" s="138" t="e">
        <f>'12h NOT INSPETOR ITEM 1'!J152</f>
        <v>#REF!</v>
      </c>
      <c r="K8" s="874"/>
      <c r="L8" s="876"/>
      <c r="M8" s="160"/>
      <c r="N8" s="149"/>
    </row>
    <row r="9" spans="1:14" ht="13.5" customHeight="1" thickBot="1">
      <c r="A9" s="865" t="s">
        <v>216</v>
      </c>
      <c r="B9" s="866"/>
      <c r="C9" s="866"/>
      <c r="D9" s="866"/>
      <c r="E9" s="866"/>
      <c r="F9" s="866"/>
      <c r="G9" s="866"/>
      <c r="H9" s="866"/>
      <c r="I9" s="866"/>
      <c r="J9" s="867"/>
      <c r="K9" s="151" t="e">
        <f>K7</f>
        <v>#REF!</v>
      </c>
      <c r="L9" s="152" t="e">
        <f>L7</f>
        <v>#REF!</v>
      </c>
      <c r="M9" s="149"/>
    </row>
    <row r="11" spans="1:14" ht="12.75" customHeight="1">
      <c r="A11" s="868" t="s">
        <v>168</v>
      </c>
      <c r="B11" s="868"/>
      <c r="C11" s="868"/>
      <c r="D11" s="868"/>
      <c r="E11" s="868"/>
      <c r="F11" s="868"/>
      <c r="G11" s="868"/>
      <c r="H11" s="868"/>
      <c r="I11" s="868"/>
      <c r="J11" s="868"/>
      <c r="K11" s="868"/>
      <c r="L11" s="868"/>
      <c r="N11" s="227">
        <v>0.02</v>
      </c>
    </row>
    <row r="12" spans="1:14" ht="12.75" customHeight="1">
      <c r="A12" s="869" t="s">
        <v>169</v>
      </c>
      <c r="B12" s="869"/>
      <c r="C12" s="869"/>
      <c r="D12" s="869"/>
      <c r="E12" s="869"/>
      <c r="F12" s="869"/>
      <c r="G12" s="869"/>
      <c r="H12" s="869"/>
      <c r="I12" s="869"/>
      <c r="J12" s="869"/>
      <c r="K12" s="869"/>
      <c r="L12" s="869"/>
      <c r="N12" s="227">
        <v>1.37E-2</v>
      </c>
    </row>
    <row r="13" spans="1:14">
      <c r="L13" s="149"/>
    </row>
    <row r="14" spans="1:14">
      <c r="L14" s="149"/>
    </row>
    <row r="17" spans="10:15">
      <c r="L17" s="157"/>
    </row>
    <row r="19" spans="10:15" ht="13.5" customHeight="1" thickBot="1">
      <c r="J19" s="870"/>
      <c r="K19" s="870"/>
      <c r="L19" s="870"/>
      <c r="M19" s="870"/>
      <c r="O19" s="222"/>
    </row>
    <row r="20" spans="10:15" ht="12.75" customHeight="1">
      <c r="J20" s="871"/>
      <c r="K20" s="872"/>
      <c r="L20" s="188"/>
      <c r="M20" s="189"/>
      <c r="O20" s="222"/>
    </row>
    <row r="21" spans="10:15" ht="12.75">
      <c r="J21" s="863"/>
      <c r="K21" s="864"/>
      <c r="L21" s="190"/>
      <c r="M21" s="197"/>
      <c r="O21" s="223"/>
    </row>
    <row r="22" spans="10:15">
      <c r="J22" s="191"/>
      <c r="K22" s="192"/>
      <c r="L22" s="192"/>
      <c r="M22" s="193"/>
      <c r="O22" s="222"/>
    </row>
    <row r="23" spans="10:15" ht="12.75">
      <c r="J23" s="863"/>
      <c r="K23" s="864"/>
      <c r="L23" s="190"/>
      <c r="M23" s="197"/>
      <c r="O23" s="223"/>
    </row>
    <row r="24" spans="10:15">
      <c r="J24" s="191"/>
      <c r="K24" s="192"/>
      <c r="L24" s="192"/>
      <c r="M24" s="193"/>
      <c r="O24" s="222"/>
    </row>
    <row r="25" spans="10:15" ht="12.75">
      <c r="J25" s="863"/>
      <c r="K25" s="864"/>
      <c r="L25" s="190"/>
      <c r="M25" s="197"/>
      <c r="O25" s="223"/>
    </row>
    <row r="26" spans="10:15">
      <c r="J26" s="191"/>
      <c r="K26" s="192"/>
      <c r="L26" s="192"/>
      <c r="M26" s="193"/>
      <c r="O26" s="222"/>
    </row>
    <row r="27" spans="10:15">
      <c r="J27" s="191"/>
      <c r="K27" s="192"/>
      <c r="L27" s="192"/>
      <c r="M27" s="193"/>
      <c r="O27" s="222"/>
    </row>
    <row r="28" spans="10:15">
      <c r="J28" s="191"/>
      <c r="K28" s="192"/>
      <c r="L28" s="192"/>
      <c r="M28" s="193"/>
      <c r="O28" s="222"/>
    </row>
    <row r="29" spans="10:15" ht="12" thickBot="1">
      <c r="J29" s="194"/>
      <c r="K29" s="195"/>
      <c r="L29" s="195"/>
      <c r="M29" s="196"/>
      <c r="O29" s="223"/>
    </row>
  </sheetData>
  <mergeCells count="20">
    <mergeCell ref="K7:K8"/>
    <mergeCell ref="L7:L8"/>
    <mergeCell ref="A1:L1"/>
    <mergeCell ref="A2:L4"/>
    <mergeCell ref="A7:A8"/>
    <mergeCell ref="B7:B8"/>
    <mergeCell ref="C7:C8"/>
    <mergeCell ref="D7:D8"/>
    <mergeCell ref="E7:E8"/>
    <mergeCell ref="F7:F8"/>
    <mergeCell ref="G7:G8"/>
    <mergeCell ref="H7:H8"/>
    <mergeCell ref="J21:K21"/>
    <mergeCell ref="J23:K23"/>
    <mergeCell ref="J25:K25"/>
    <mergeCell ref="A9:J9"/>
    <mergeCell ref="A11:L11"/>
    <mergeCell ref="A12:L12"/>
    <mergeCell ref="J19:M19"/>
    <mergeCell ref="J20:K20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1:S154"/>
  <sheetViews>
    <sheetView view="pageBreakPreview" topLeftCell="A47" zoomScale="80" zoomScaleNormal="100" zoomScaleSheetLayoutView="80" workbookViewId="0">
      <selection activeCell="A94" sqref="A94"/>
    </sheetView>
  </sheetViews>
  <sheetFormatPr defaultRowHeight="15.75"/>
  <cols>
    <col min="1" max="1" width="5.42578125" style="229" customWidth="1"/>
    <col min="2" max="2" width="3.5703125" style="229" customWidth="1"/>
    <col min="3" max="3" width="9.140625" style="229"/>
    <col min="4" max="4" width="12.7109375" style="229" customWidth="1"/>
    <col min="5" max="5" width="9.140625" style="229"/>
    <col min="6" max="6" width="25.42578125" style="229" customWidth="1"/>
    <col min="7" max="7" width="19.140625" style="229" customWidth="1"/>
    <col min="8" max="8" width="20.28515625" style="229" customWidth="1"/>
    <col min="9" max="9" width="10.140625" style="229" customWidth="1"/>
    <col min="10" max="10" width="17.5703125" style="229" customWidth="1"/>
    <col min="11" max="11" width="14.28515625" style="359" bestFit="1" customWidth="1"/>
    <col min="12" max="12" width="18" style="359" bestFit="1" customWidth="1"/>
    <col min="13" max="13" width="9.85546875" style="359" hidden="1" customWidth="1"/>
    <col min="14" max="14" width="7.5703125" style="359" hidden="1" customWidth="1"/>
    <col min="15" max="15" width="10.5703125" style="359" hidden="1" customWidth="1"/>
    <col min="16" max="16" width="19.85546875" style="359" hidden="1" customWidth="1"/>
    <col min="17" max="17" width="15.28515625" style="359" bestFit="1" customWidth="1"/>
    <col min="18" max="18" width="8.42578125" style="359" bestFit="1" customWidth="1"/>
    <col min="19" max="19" width="11.85546875" style="359" bestFit="1" customWidth="1"/>
    <col min="20" max="16384" width="9.140625" style="2"/>
  </cols>
  <sheetData>
    <row r="1" spans="1:19" ht="22.5" customHeight="1"/>
    <row r="2" spans="1:19" s="6" customFormat="1" ht="18" customHeight="1">
      <c r="A2" s="987" t="s">
        <v>224</v>
      </c>
      <c r="B2" s="987"/>
      <c r="C2" s="987"/>
      <c r="D2" s="987"/>
      <c r="E2" s="987"/>
      <c r="F2" s="987"/>
      <c r="G2" s="987"/>
      <c r="H2" s="987"/>
      <c r="I2" s="987"/>
      <c r="J2" s="987"/>
      <c r="K2" s="360"/>
      <c r="L2" s="360"/>
      <c r="M2" s="360"/>
      <c r="N2" s="361"/>
      <c r="O2" s="361"/>
      <c r="P2" s="361"/>
      <c r="Q2" s="361"/>
      <c r="R2" s="361"/>
      <c r="S2" s="361"/>
    </row>
    <row r="3" spans="1:19" s="5" customFormat="1" ht="10.5" customHeight="1">
      <c r="A3" s="288"/>
      <c r="B3" s="286"/>
      <c r="C3" s="286"/>
      <c r="D3" s="286"/>
      <c r="E3" s="286"/>
      <c r="F3" s="286"/>
      <c r="G3" s="286"/>
      <c r="H3" s="286"/>
      <c r="I3" s="286"/>
      <c r="J3" s="289"/>
      <c r="K3" s="360"/>
      <c r="L3" s="360"/>
      <c r="M3" s="360"/>
      <c r="N3" s="360"/>
      <c r="O3" s="360"/>
      <c r="P3" s="360"/>
      <c r="Q3" s="360"/>
      <c r="R3" s="360"/>
      <c r="S3" s="360"/>
    </row>
    <row r="4" spans="1:19" s="6" customFormat="1" ht="1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360"/>
      <c r="L4" s="360"/>
      <c r="M4" s="360"/>
      <c r="N4" s="361"/>
      <c r="O4" s="361"/>
      <c r="P4" s="361"/>
      <c r="Q4" s="361"/>
      <c r="R4" s="361"/>
      <c r="S4" s="361"/>
    </row>
    <row r="5" spans="1:19" s="6" customFormat="1" ht="16.5" customHeight="1">
      <c r="A5" s="1014"/>
      <c r="B5" s="1014"/>
      <c r="C5" s="1014"/>
      <c r="D5" s="1014"/>
      <c r="E5" s="1014"/>
      <c r="F5" s="1014"/>
      <c r="G5" s="1014"/>
      <c r="H5" s="995"/>
      <c r="I5" s="342" t="s">
        <v>127</v>
      </c>
      <c r="J5" s="343" t="s">
        <v>222</v>
      </c>
      <c r="K5" s="360"/>
      <c r="L5" s="360"/>
      <c r="M5" s="360"/>
      <c r="N5" s="361"/>
      <c r="O5" s="361"/>
      <c r="P5" s="361"/>
      <c r="Q5" s="361"/>
      <c r="R5" s="361"/>
      <c r="S5" s="361"/>
    </row>
    <row r="6" spans="1:19" s="6" customFormat="1" ht="1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360"/>
      <c r="L6" s="360"/>
      <c r="M6" s="360"/>
      <c r="N6" s="361"/>
      <c r="O6" s="361"/>
      <c r="P6" s="361"/>
      <c r="Q6" s="361"/>
      <c r="R6" s="361"/>
      <c r="S6" s="361"/>
    </row>
    <row r="7" spans="1:19" s="6" customFormat="1" ht="15">
      <c r="A7" s="1014" t="s">
        <v>223</v>
      </c>
      <c r="B7" s="1014"/>
      <c r="C7" s="1014"/>
      <c r="D7" s="1014"/>
      <c r="E7" s="1014"/>
      <c r="F7" s="1014"/>
      <c r="G7" s="1014"/>
      <c r="H7" s="1014"/>
      <c r="I7" s="1014"/>
      <c r="J7" s="1014"/>
      <c r="K7" s="360"/>
      <c r="L7" s="360"/>
      <c r="M7" s="360"/>
      <c r="N7" s="361"/>
      <c r="O7" s="361"/>
      <c r="P7" s="361"/>
      <c r="Q7" s="361"/>
      <c r="R7" s="361"/>
      <c r="S7" s="361"/>
    </row>
    <row r="8" spans="1:19" s="6" customFormat="1" ht="15">
      <c r="A8" s="312" t="s">
        <v>128</v>
      </c>
      <c r="B8" s="313" t="s">
        <v>129</v>
      </c>
      <c r="C8" s="314"/>
      <c r="D8" s="314"/>
      <c r="E8" s="314"/>
      <c r="F8" s="314"/>
      <c r="G8" s="1015" t="str">
        <f>J5</f>
        <v>02/06/2020 - 09:30H</v>
      </c>
      <c r="H8" s="1015"/>
      <c r="I8" s="1015"/>
      <c r="J8" s="1015"/>
      <c r="K8" s="360"/>
      <c r="L8" s="360"/>
      <c r="M8" s="360"/>
      <c r="N8" s="361"/>
      <c r="O8" s="361"/>
      <c r="P8" s="361"/>
      <c r="Q8" s="361"/>
      <c r="R8" s="361"/>
      <c r="S8" s="361"/>
    </row>
    <row r="9" spans="1:19" s="6" customFormat="1" ht="15">
      <c r="A9" s="312" t="s">
        <v>8</v>
      </c>
      <c r="B9" s="1001" t="s">
        <v>130</v>
      </c>
      <c r="C9" s="1237"/>
      <c r="D9" s="1237"/>
      <c r="E9" s="1237"/>
      <c r="F9" s="1238"/>
      <c r="G9" s="1015" t="s">
        <v>164</v>
      </c>
      <c r="H9" s="1015"/>
      <c r="I9" s="1015"/>
      <c r="J9" s="1015"/>
      <c r="K9" s="360"/>
      <c r="L9" s="360"/>
      <c r="M9" s="360"/>
      <c r="N9" s="361"/>
      <c r="O9" s="361"/>
      <c r="P9" s="361"/>
      <c r="Q9" s="361"/>
      <c r="R9" s="361"/>
      <c r="S9" s="361"/>
    </row>
    <row r="10" spans="1:19" s="6" customFormat="1" ht="16.5" customHeight="1">
      <c r="A10" s="312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360"/>
      <c r="L10" s="360"/>
      <c r="M10" s="360"/>
      <c r="N10" s="361"/>
      <c r="O10" s="361"/>
      <c r="P10" s="361"/>
      <c r="Q10" s="361"/>
      <c r="R10" s="361"/>
      <c r="S10" s="361"/>
    </row>
    <row r="11" spans="1:19" s="6" customFormat="1" ht="16.5" customHeight="1">
      <c r="A11" s="312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360"/>
      <c r="L11" s="360"/>
      <c r="M11" s="360"/>
      <c r="N11" s="361"/>
      <c r="O11" s="361"/>
      <c r="P11" s="361"/>
      <c r="Q11" s="361"/>
      <c r="R11" s="361"/>
      <c r="S11" s="361"/>
    </row>
    <row r="12" spans="1:19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360"/>
      <c r="L12" s="360"/>
      <c r="M12" s="360"/>
      <c r="N12" s="361"/>
      <c r="O12" s="361"/>
      <c r="P12" s="361"/>
      <c r="Q12" s="361"/>
      <c r="R12" s="361"/>
      <c r="S12" s="361"/>
    </row>
    <row r="13" spans="1:19" s="6" customFormat="1" ht="1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360"/>
      <c r="L13" s="360"/>
      <c r="M13" s="360"/>
      <c r="N13" s="361"/>
      <c r="O13" s="361"/>
      <c r="P13" s="361"/>
      <c r="Q13" s="361"/>
      <c r="R13" s="361"/>
      <c r="S13" s="361"/>
    </row>
    <row r="14" spans="1:19" s="6" customFormat="1" ht="28.5" customHeight="1">
      <c r="A14" s="315">
        <v>1</v>
      </c>
      <c r="B14" s="1007" t="s">
        <v>25</v>
      </c>
      <c r="C14" s="1130"/>
      <c r="D14" s="1130"/>
      <c r="E14" s="1130"/>
      <c r="F14" s="1131"/>
      <c r="G14" s="1010" t="str">
        <f>A7</f>
        <v>VIGILANCIA ARMADA 12 HORAS DIURNAS 12X36 DE SEGUNDA FEIRA A DOMINGO</v>
      </c>
      <c r="H14" s="1010"/>
      <c r="I14" s="1010"/>
      <c r="J14" s="1010"/>
      <c r="K14" s="360"/>
      <c r="L14" s="360"/>
      <c r="M14" s="360"/>
      <c r="N14" s="361"/>
      <c r="O14" s="361"/>
      <c r="P14" s="361"/>
      <c r="Q14" s="361"/>
      <c r="R14" s="361"/>
      <c r="S14" s="361"/>
    </row>
    <row r="15" spans="1:19" s="6" customFormat="1" ht="15">
      <c r="A15" s="315">
        <v>2</v>
      </c>
      <c r="B15" s="1007" t="s">
        <v>135</v>
      </c>
      <c r="C15" s="1130"/>
      <c r="D15" s="1130"/>
      <c r="E15" s="1130"/>
      <c r="F15" s="1131"/>
      <c r="G15" s="1024" t="s">
        <v>136</v>
      </c>
      <c r="H15" s="1024"/>
      <c r="I15" s="1024"/>
      <c r="J15" s="1024"/>
      <c r="K15" s="360"/>
      <c r="L15" s="360"/>
      <c r="M15" s="360"/>
      <c r="N15" s="361"/>
      <c r="O15" s="361"/>
      <c r="P15" s="361"/>
      <c r="Q15" s="361"/>
      <c r="R15" s="361"/>
      <c r="S15" s="361"/>
    </row>
    <row r="16" spans="1:19" s="6" customFormat="1" ht="15">
      <c r="A16" s="315">
        <v>3</v>
      </c>
      <c r="B16" s="1007" t="s">
        <v>137</v>
      </c>
      <c r="C16" s="1130"/>
      <c r="D16" s="1130"/>
      <c r="E16" s="1130"/>
      <c r="F16" s="1131"/>
      <c r="G16" s="1025">
        <v>1401.07</v>
      </c>
      <c r="H16" s="1025"/>
      <c r="I16" s="1025"/>
      <c r="J16" s="1025"/>
      <c r="K16" s="360"/>
      <c r="L16" s="360"/>
      <c r="M16" s="360"/>
      <c r="N16" s="361"/>
      <c r="O16" s="361"/>
      <c r="P16" s="361"/>
      <c r="Q16" s="361"/>
      <c r="R16" s="361"/>
      <c r="S16" s="361"/>
    </row>
    <row r="17" spans="1:19" s="6" customFormat="1" ht="15">
      <c r="A17" s="315">
        <v>4</v>
      </c>
      <c r="B17" s="1007" t="s">
        <v>138</v>
      </c>
      <c r="C17" s="1237"/>
      <c r="D17" s="1237"/>
      <c r="E17" s="1237"/>
      <c r="F17" s="1238"/>
      <c r="G17" s="1026">
        <v>43831</v>
      </c>
      <c r="H17" s="1024"/>
      <c r="I17" s="1024"/>
      <c r="J17" s="1024"/>
      <c r="K17" s="360"/>
      <c r="L17" s="360"/>
      <c r="M17" s="360"/>
      <c r="N17" s="361"/>
      <c r="O17" s="361"/>
      <c r="P17" s="361"/>
      <c r="Q17" s="361"/>
      <c r="R17" s="361"/>
      <c r="S17" s="361"/>
    </row>
    <row r="18" spans="1:19" s="17" customFormat="1" ht="15">
      <c r="A18" s="1065" t="s">
        <v>76</v>
      </c>
      <c r="B18" s="1065"/>
      <c r="C18" s="1065"/>
      <c r="D18" s="1065"/>
      <c r="E18" s="1065"/>
      <c r="F18" s="1065"/>
      <c r="G18" s="1065"/>
      <c r="H18" s="1065"/>
      <c r="I18" s="1065"/>
      <c r="J18" s="1065"/>
      <c r="K18" s="359"/>
      <c r="L18" s="359"/>
      <c r="M18" s="359"/>
      <c r="N18" s="359"/>
      <c r="O18" s="359"/>
      <c r="P18" s="359"/>
      <c r="Q18" s="359"/>
      <c r="R18" s="359"/>
      <c r="S18" s="359"/>
    </row>
    <row r="19" spans="1:19" s="17" customFormat="1" ht="15">
      <c r="A19" s="291"/>
      <c r="B19" s="230"/>
      <c r="C19" s="231"/>
      <c r="D19" s="231"/>
      <c r="E19" s="231"/>
      <c r="F19" s="231"/>
      <c r="G19" s="231"/>
      <c r="H19" s="231"/>
      <c r="I19" s="230"/>
      <c r="J19" s="292"/>
      <c r="K19" s="359"/>
      <c r="L19" s="359"/>
      <c r="M19" s="359"/>
      <c r="N19" s="359"/>
      <c r="O19" s="359"/>
      <c r="P19" s="359"/>
      <c r="Q19" s="359"/>
      <c r="R19" s="359"/>
      <c r="S19" s="359"/>
    </row>
    <row r="20" spans="1:19" s="17" customFormat="1" ht="27.75" customHeight="1">
      <c r="A20" s="1021" t="s">
        <v>25</v>
      </c>
      <c r="B20" s="1021"/>
      <c r="C20" s="1021"/>
      <c r="D20" s="1021"/>
      <c r="E20" s="1021"/>
      <c r="F20" s="1021"/>
      <c r="G20" s="284" t="s">
        <v>26</v>
      </c>
      <c r="H20" s="1242" t="s">
        <v>27</v>
      </c>
      <c r="I20" s="1242"/>
      <c r="J20" s="1242"/>
      <c r="K20" s="359"/>
      <c r="L20" s="359"/>
      <c r="M20" s="359"/>
      <c r="N20" s="359"/>
      <c r="O20" s="359"/>
      <c r="P20" s="359"/>
      <c r="Q20" s="359"/>
      <c r="R20" s="359"/>
      <c r="S20" s="359"/>
    </row>
    <row r="21" spans="1:19" s="17" customFormat="1" ht="27.75" customHeight="1">
      <c r="A21" s="1019" t="str">
        <f>G14</f>
        <v>VIGILANCIA ARMADA 12 HORAS DIURNAS 12X36 DE SEGUNDA FEIRA A DOMINGO</v>
      </c>
      <c r="B21" s="1020"/>
      <c r="C21" s="1020"/>
      <c r="D21" s="1020"/>
      <c r="E21" s="1020"/>
      <c r="F21" s="1020"/>
      <c r="G21" s="317" t="s">
        <v>94</v>
      </c>
      <c r="H21" s="1021">
        <v>12</v>
      </c>
      <c r="I21" s="1021"/>
      <c r="J21" s="1021"/>
      <c r="K21" s="359"/>
      <c r="L21" s="359"/>
      <c r="M21" s="359"/>
      <c r="N21" s="359"/>
      <c r="O21" s="359"/>
      <c r="P21" s="359"/>
      <c r="Q21" s="359"/>
      <c r="R21" s="359"/>
      <c r="S21" s="359"/>
    </row>
    <row r="22" spans="1:19" s="17" customFormat="1" ht="15">
      <c r="A22" s="291"/>
      <c r="B22" s="230"/>
      <c r="C22" s="231"/>
      <c r="D22" s="231"/>
      <c r="E22" s="231"/>
      <c r="F22" s="231"/>
      <c r="G22" s="231"/>
      <c r="H22" s="231"/>
      <c r="I22" s="231"/>
      <c r="J22" s="292"/>
      <c r="K22" s="359"/>
      <c r="L22" s="359"/>
      <c r="M22" s="359"/>
      <c r="N22" s="359"/>
      <c r="O22" s="359"/>
      <c r="P22" s="359"/>
      <c r="Q22" s="359"/>
      <c r="R22" s="359"/>
      <c r="S22" s="359"/>
    </row>
    <row r="23" spans="1:19" s="17" customFormat="1" ht="15">
      <c r="A23" s="1014" t="s">
        <v>140</v>
      </c>
      <c r="B23" s="1014"/>
      <c r="C23" s="1014"/>
      <c r="D23" s="1014"/>
      <c r="E23" s="1014"/>
      <c r="F23" s="1014"/>
      <c r="G23" s="1014"/>
      <c r="H23" s="1014"/>
      <c r="I23" s="1014"/>
      <c r="J23" s="1014"/>
      <c r="K23" s="359"/>
      <c r="L23" s="359"/>
      <c r="M23" s="359"/>
      <c r="N23" s="359"/>
      <c r="O23" s="359"/>
      <c r="P23" s="359"/>
      <c r="Q23" s="359"/>
      <c r="R23" s="359"/>
      <c r="S23" s="359"/>
    </row>
    <row r="24" spans="1:19" s="17" customFormat="1" ht="15">
      <c r="A24" s="291"/>
      <c r="B24" s="231"/>
      <c r="C24" s="231"/>
      <c r="D24" s="231"/>
      <c r="E24" s="231"/>
      <c r="F24" s="231"/>
      <c r="G24" s="231"/>
      <c r="H24" s="231"/>
      <c r="I24" s="231"/>
      <c r="J24" s="292"/>
      <c r="K24" s="359"/>
      <c r="L24" s="359"/>
      <c r="M24" s="359"/>
      <c r="N24" s="359"/>
      <c r="O24" s="359"/>
      <c r="P24" s="359"/>
      <c r="Q24" s="359"/>
      <c r="R24" s="359"/>
      <c r="S24" s="359"/>
    </row>
    <row r="25" spans="1:19" s="17" customFormat="1" ht="15">
      <c r="A25" s="1065" t="s">
        <v>38</v>
      </c>
      <c r="B25" s="1065"/>
      <c r="C25" s="1065"/>
      <c r="D25" s="1065"/>
      <c r="E25" s="1065"/>
      <c r="F25" s="1065"/>
      <c r="G25" s="1065"/>
      <c r="H25" s="1065"/>
      <c r="I25" s="1065"/>
      <c r="J25" s="1065"/>
      <c r="K25" s="359"/>
      <c r="L25" s="359"/>
      <c r="M25" s="359"/>
      <c r="N25" s="359"/>
      <c r="O25" s="359"/>
      <c r="P25" s="359"/>
      <c r="Q25" s="359"/>
      <c r="R25" s="359"/>
      <c r="S25" s="359"/>
    </row>
    <row r="26" spans="1:19" s="17" customFormat="1" ht="15">
      <c r="A26" s="238">
        <v>1</v>
      </c>
      <c r="B26" s="1038" t="s">
        <v>81</v>
      </c>
      <c r="C26" s="1039"/>
      <c r="D26" s="1039"/>
      <c r="E26" s="1039"/>
      <c r="F26" s="1039"/>
      <c r="G26" s="1039"/>
      <c r="H26" s="1039"/>
      <c r="I26" s="1040"/>
      <c r="J26" s="238" t="s">
        <v>141</v>
      </c>
      <c r="K26" s="359"/>
      <c r="L26" s="359"/>
      <c r="M26" s="359"/>
      <c r="N26" s="359"/>
      <c r="O26" s="359"/>
      <c r="P26" s="359"/>
      <c r="Q26" s="359"/>
      <c r="R26" s="359"/>
      <c r="S26" s="359"/>
    </row>
    <row r="27" spans="1:19" s="17" customFormat="1" ht="15">
      <c r="A27" s="238">
        <v>2</v>
      </c>
      <c r="B27" s="1027" t="s">
        <v>39</v>
      </c>
      <c r="C27" s="1027"/>
      <c r="D27" s="1027"/>
      <c r="E27" s="1027"/>
      <c r="F27" s="1027"/>
      <c r="G27" s="1027"/>
      <c r="H27" s="1027"/>
      <c r="I27" s="1027"/>
      <c r="J27" s="238" t="s">
        <v>121</v>
      </c>
      <c r="K27" s="359"/>
      <c r="L27" s="359"/>
      <c r="M27" s="359"/>
      <c r="N27" s="359"/>
      <c r="O27" s="359"/>
      <c r="P27" s="359"/>
      <c r="Q27" s="359"/>
      <c r="R27" s="359"/>
      <c r="S27" s="359"/>
    </row>
    <row r="28" spans="1:19" s="17" customFormat="1" ht="15">
      <c r="A28" s="238">
        <v>3</v>
      </c>
      <c r="B28" s="1027" t="s">
        <v>6</v>
      </c>
      <c r="C28" s="1027"/>
      <c r="D28" s="1027"/>
      <c r="E28" s="1027"/>
      <c r="F28" s="1027"/>
      <c r="G28" s="1027"/>
      <c r="H28" s="1027"/>
      <c r="I28" s="1027"/>
      <c r="J28" s="282">
        <f>G16</f>
        <v>1401.07</v>
      </c>
      <c r="K28" s="359"/>
      <c r="L28" s="359"/>
      <c r="M28" s="359"/>
      <c r="N28" s="359"/>
      <c r="O28" s="359"/>
      <c r="P28" s="359"/>
      <c r="Q28" s="359"/>
      <c r="R28" s="359"/>
      <c r="S28" s="359"/>
    </row>
    <row r="29" spans="1:19" s="17" customFormat="1" ht="15">
      <c r="A29" s="238">
        <v>4</v>
      </c>
      <c r="B29" s="1027" t="s">
        <v>177</v>
      </c>
      <c r="C29" s="1027"/>
      <c r="D29" s="1027"/>
      <c r="E29" s="1027"/>
      <c r="F29" s="1027"/>
      <c r="G29" s="1027"/>
      <c r="H29" s="1027"/>
      <c r="I29" s="1027"/>
      <c r="J29" s="238" t="s">
        <v>108</v>
      </c>
      <c r="K29" s="359"/>
      <c r="L29" s="359"/>
      <c r="M29" s="359"/>
      <c r="N29" s="359"/>
      <c r="O29" s="359"/>
      <c r="P29" s="359"/>
      <c r="Q29" s="359"/>
      <c r="R29" s="359"/>
      <c r="S29" s="359"/>
    </row>
    <row r="30" spans="1:19" s="17" customFormat="1" ht="15">
      <c r="A30" s="238">
        <v>6</v>
      </c>
      <c r="B30" s="1027" t="s">
        <v>5</v>
      </c>
      <c r="C30" s="1027"/>
      <c r="D30" s="1027"/>
      <c r="E30" s="1027"/>
      <c r="F30" s="1027"/>
      <c r="G30" s="1027"/>
      <c r="H30" s="1027"/>
      <c r="I30" s="1027"/>
      <c r="J30" s="283">
        <v>43831</v>
      </c>
      <c r="K30" s="359"/>
      <c r="L30" s="359"/>
      <c r="M30" s="359"/>
      <c r="N30" s="359"/>
      <c r="O30" s="359"/>
      <c r="P30" s="359"/>
      <c r="Q30" s="359"/>
      <c r="R30" s="359"/>
      <c r="S30" s="359"/>
    </row>
    <row r="31" spans="1:19" s="17" customFormat="1" ht="15">
      <c r="A31" s="291"/>
      <c r="B31" s="1028"/>
      <c r="C31" s="1028"/>
      <c r="D31" s="1028"/>
      <c r="E31" s="1028"/>
      <c r="F31" s="1028"/>
      <c r="G31" s="1028"/>
      <c r="H31" s="1028"/>
      <c r="I31" s="1028"/>
      <c r="J31" s="1029"/>
      <c r="K31" s="359"/>
      <c r="L31" s="359"/>
      <c r="M31" s="359"/>
      <c r="N31" s="359"/>
      <c r="O31" s="359"/>
      <c r="P31" s="359"/>
      <c r="Q31" s="359"/>
      <c r="R31" s="359"/>
      <c r="S31" s="359"/>
    </row>
    <row r="32" spans="1:19" s="17" customFormat="1" ht="15">
      <c r="A32" s="1065" t="s">
        <v>23</v>
      </c>
      <c r="B32" s="1065"/>
      <c r="C32" s="1065"/>
      <c r="D32" s="1065"/>
      <c r="E32" s="1065"/>
      <c r="F32" s="1065"/>
      <c r="G32" s="1065"/>
      <c r="H32" s="1065"/>
      <c r="I32" s="1065"/>
      <c r="J32" s="1065"/>
      <c r="K32" s="359"/>
      <c r="L32" s="359"/>
      <c r="M32" s="359"/>
      <c r="N32" s="359"/>
      <c r="O32" s="359"/>
      <c r="P32" s="359"/>
      <c r="Q32" s="359"/>
      <c r="R32" s="359"/>
      <c r="S32" s="359"/>
    </row>
    <row r="33" spans="1:19" s="17" customFormat="1" ht="15">
      <c r="A33" s="238">
        <v>1</v>
      </c>
      <c r="B33" s="1031" t="s">
        <v>15</v>
      </c>
      <c r="C33" s="1031"/>
      <c r="D33" s="1031"/>
      <c r="E33" s="1031"/>
      <c r="F33" s="1031"/>
      <c r="G33" s="1031"/>
      <c r="H33" s="1031"/>
      <c r="I33" s="237" t="s">
        <v>3</v>
      </c>
      <c r="J33" s="237" t="s">
        <v>1</v>
      </c>
      <c r="K33" s="359"/>
      <c r="L33" s="359"/>
      <c r="M33" s="359"/>
      <c r="N33" s="359"/>
      <c r="O33" s="359"/>
      <c r="P33" s="359"/>
      <c r="Q33" s="359"/>
      <c r="R33" s="359"/>
      <c r="S33" s="359"/>
    </row>
    <row r="34" spans="1:19" s="17" customFormat="1" ht="15">
      <c r="A34" s="238" t="s">
        <v>7</v>
      </c>
      <c r="B34" s="1027" t="s">
        <v>24</v>
      </c>
      <c r="C34" s="1027"/>
      <c r="D34" s="1027"/>
      <c r="E34" s="1027"/>
      <c r="F34" s="1027"/>
      <c r="G34" s="1027"/>
      <c r="H34" s="1027"/>
      <c r="I34" s="275">
        <v>1</v>
      </c>
      <c r="J34" s="276">
        <f>J28</f>
        <v>1401.07</v>
      </c>
      <c r="K34" s="362"/>
      <c r="L34" s="359"/>
      <c r="M34" s="359"/>
      <c r="N34" s="359"/>
      <c r="O34" s="359"/>
      <c r="P34" s="359"/>
      <c r="Q34" s="359"/>
      <c r="R34" s="359"/>
      <c r="S34" s="359"/>
    </row>
    <row r="35" spans="1:19" s="17" customFormat="1" ht="15">
      <c r="A35" s="238" t="s">
        <v>8</v>
      </c>
      <c r="B35" s="1027" t="s">
        <v>40</v>
      </c>
      <c r="C35" s="1027"/>
      <c r="D35" s="1027"/>
      <c r="E35" s="1027"/>
      <c r="F35" s="1027"/>
      <c r="G35" s="1027"/>
      <c r="H35" s="1027"/>
      <c r="I35" s="261">
        <v>0.3</v>
      </c>
      <c r="J35" s="276">
        <f>J34*I35</f>
        <v>420.32099999999997</v>
      </c>
      <c r="K35" s="362"/>
      <c r="L35" s="359"/>
      <c r="M35" s="359"/>
      <c r="N35" s="359"/>
      <c r="O35" s="359"/>
      <c r="P35" s="359"/>
      <c r="Q35" s="359"/>
      <c r="R35" s="359"/>
      <c r="S35" s="359"/>
    </row>
    <row r="36" spans="1:19" s="17" customFormat="1" ht="15">
      <c r="A36" s="238" t="s">
        <v>9</v>
      </c>
      <c r="B36" s="1027" t="s">
        <v>2</v>
      </c>
      <c r="C36" s="1027"/>
      <c r="D36" s="1027"/>
      <c r="E36" s="1027"/>
      <c r="F36" s="1027"/>
      <c r="G36" s="1027"/>
      <c r="H36" s="1027"/>
      <c r="I36" s="277">
        <v>0</v>
      </c>
      <c r="J36" s="276">
        <f>((J34+J35)/220)*0.2*I36</f>
        <v>0</v>
      </c>
      <c r="K36" s="363"/>
      <c r="L36" s="359"/>
      <c r="M36" s="359"/>
      <c r="N36" s="359"/>
      <c r="O36" s="359"/>
      <c r="P36" s="359"/>
      <c r="Q36" s="364"/>
      <c r="R36" s="365"/>
      <c r="S36" s="359"/>
    </row>
    <row r="37" spans="1:19" s="17" customFormat="1" ht="15">
      <c r="A37" s="238" t="s">
        <v>10</v>
      </c>
      <c r="B37" s="1027" t="s">
        <v>109</v>
      </c>
      <c r="C37" s="1027"/>
      <c r="D37" s="1027"/>
      <c r="E37" s="1027"/>
      <c r="F37" s="1027"/>
      <c r="G37" s="1027"/>
      <c r="H37" s="1027"/>
      <c r="I37" s="277">
        <v>0</v>
      </c>
      <c r="J37" s="276">
        <f>I37*14.89</f>
        <v>0</v>
      </c>
      <c r="K37" s="363"/>
      <c r="L37" s="359"/>
      <c r="M37" s="359"/>
      <c r="N37" s="359"/>
      <c r="O37" s="359"/>
      <c r="P37" s="359">
        <f>O37*12</f>
        <v>0</v>
      </c>
      <c r="Q37" s="364"/>
      <c r="R37" s="364"/>
      <c r="S37" s="359"/>
    </row>
    <row r="38" spans="1:19" s="17" customFormat="1" ht="15" hidden="1">
      <c r="A38" s="238"/>
      <c r="B38" s="243"/>
      <c r="C38" s="1027" t="s">
        <v>111</v>
      </c>
      <c r="D38" s="1027"/>
      <c r="E38" s="1027"/>
      <c r="F38" s="1027"/>
      <c r="G38" s="1027"/>
      <c r="H38" s="1027"/>
      <c r="I38" s="278">
        <v>0</v>
      </c>
      <c r="J38" s="276">
        <f>I38*15</f>
        <v>0</v>
      </c>
      <c r="K38" s="363"/>
      <c r="L38" s="359"/>
      <c r="M38" s="359"/>
      <c r="N38" s="359"/>
      <c r="O38" s="359"/>
      <c r="P38" s="359"/>
      <c r="Q38" s="359"/>
      <c r="R38" s="359"/>
      <c r="S38" s="359"/>
    </row>
    <row r="39" spans="1:19" s="17" customFormat="1" ht="15" hidden="1">
      <c r="A39" s="238"/>
      <c r="B39" s="237"/>
      <c r="C39" s="1027" t="s">
        <v>110</v>
      </c>
      <c r="D39" s="1027"/>
      <c r="E39" s="1027"/>
      <c r="F39" s="1027"/>
      <c r="G39" s="1027"/>
      <c r="H39" s="1027"/>
      <c r="I39" s="278">
        <v>0</v>
      </c>
      <c r="J39" s="276">
        <f>J38/6</f>
        <v>0</v>
      </c>
      <c r="K39" s="363"/>
      <c r="L39" s="359"/>
      <c r="M39" s="359"/>
      <c r="N39" s="359"/>
      <c r="O39" s="359"/>
      <c r="P39" s="359"/>
      <c r="Q39" s="359"/>
      <c r="R39" s="359"/>
      <c r="S39" s="359"/>
    </row>
    <row r="40" spans="1:19" s="17" customFormat="1" ht="15" hidden="1">
      <c r="A40" s="238"/>
      <c r="B40" s="237"/>
      <c r="C40" s="1027" t="s">
        <v>112</v>
      </c>
      <c r="D40" s="1027"/>
      <c r="E40" s="1027"/>
      <c r="F40" s="1027"/>
      <c r="G40" s="1027"/>
      <c r="H40" s="1027"/>
      <c r="I40" s="279">
        <v>0</v>
      </c>
      <c r="J40" s="276">
        <f>I40*I36</f>
        <v>0</v>
      </c>
      <c r="K40" s="363"/>
      <c r="L40" s="359"/>
      <c r="M40" s="359"/>
      <c r="N40" s="359"/>
      <c r="O40" s="359"/>
      <c r="P40" s="359"/>
      <c r="Q40" s="359"/>
      <c r="R40" s="359"/>
      <c r="S40" s="359"/>
    </row>
    <row r="41" spans="1:19" s="17" customFormat="1" ht="15">
      <c r="A41" s="238" t="s">
        <v>11</v>
      </c>
      <c r="B41" s="1027" t="s">
        <v>123</v>
      </c>
      <c r="C41" s="1027"/>
      <c r="D41" s="1027"/>
      <c r="E41" s="1027"/>
      <c r="F41" s="1027"/>
      <c r="G41" s="1027"/>
      <c r="H41" s="1027"/>
      <c r="I41" s="280"/>
      <c r="J41" s="276">
        <f>(J36+J37)/6</f>
        <v>0</v>
      </c>
      <c r="K41" s="363"/>
      <c r="L41" s="359"/>
      <c r="M41" s="359"/>
      <c r="N41" s="359"/>
      <c r="O41" s="359"/>
      <c r="P41" s="359"/>
      <c r="Q41" s="366"/>
      <c r="R41" s="359"/>
      <c r="S41" s="359"/>
    </row>
    <row r="42" spans="1:19" s="17" customFormat="1" ht="15">
      <c r="A42" s="1031" t="s">
        <v>95</v>
      </c>
      <c r="B42" s="1031"/>
      <c r="C42" s="1031"/>
      <c r="D42" s="1031"/>
      <c r="E42" s="1031"/>
      <c r="F42" s="1031"/>
      <c r="G42" s="1031"/>
      <c r="H42" s="1031"/>
      <c r="I42" s="1031"/>
      <c r="J42" s="274">
        <f>SUM(J34:J41)</f>
        <v>1821.3909999999998</v>
      </c>
      <c r="K42" s="363"/>
      <c r="L42" s="359"/>
      <c r="M42" s="359"/>
      <c r="N42" s="359"/>
      <c r="O42" s="359"/>
      <c r="P42" s="359"/>
      <c r="Q42" s="367"/>
      <c r="R42" s="365"/>
      <c r="S42" s="359"/>
    </row>
    <row r="43" spans="1:19" s="17" customFormat="1" ht="15">
      <c r="A43" s="1031" t="s">
        <v>57</v>
      </c>
      <c r="B43" s="1031"/>
      <c r="C43" s="1031"/>
      <c r="D43" s="1031"/>
      <c r="E43" s="1031"/>
      <c r="F43" s="1031"/>
      <c r="G43" s="1031"/>
      <c r="H43" s="1031"/>
      <c r="I43" s="1031"/>
      <c r="J43" s="281">
        <f>SUM(J42)</f>
        <v>1821.3909999999998</v>
      </c>
      <c r="K43" s="363"/>
      <c r="L43" s="359"/>
      <c r="M43" s="359"/>
      <c r="N43" s="359"/>
      <c r="O43" s="359"/>
      <c r="P43" s="359"/>
      <c r="Q43" s="367"/>
      <c r="R43" s="359"/>
      <c r="S43" s="359"/>
    </row>
    <row r="44" spans="1:19" s="17" customFormat="1" ht="15">
      <c r="A44" s="291"/>
      <c r="B44" s="232"/>
      <c r="C44" s="232"/>
      <c r="D44" s="232"/>
      <c r="E44" s="232"/>
      <c r="F44" s="232"/>
      <c r="G44" s="232"/>
      <c r="H44" s="232"/>
      <c r="I44" s="232"/>
      <c r="J44" s="293"/>
      <c r="K44" s="368"/>
      <c r="L44" s="359"/>
      <c r="M44" s="359"/>
      <c r="N44" s="359"/>
      <c r="O44" s="359"/>
      <c r="P44" s="359"/>
      <c r="Q44" s="367"/>
      <c r="R44" s="359"/>
      <c r="S44" s="359"/>
    </row>
    <row r="45" spans="1:19" s="17" customFormat="1" ht="15">
      <c r="A45" s="291"/>
      <c r="B45" s="232"/>
      <c r="C45" s="232"/>
      <c r="D45" s="232"/>
      <c r="E45" s="232"/>
      <c r="F45" s="232"/>
      <c r="G45" s="232"/>
      <c r="H45" s="232"/>
      <c r="I45" s="232"/>
      <c r="J45" s="294"/>
      <c r="K45" s="369"/>
      <c r="L45" s="359"/>
      <c r="M45" s="359"/>
      <c r="N45" s="359"/>
      <c r="O45" s="359"/>
      <c r="P45" s="359"/>
      <c r="Q45" s="359"/>
      <c r="R45" s="359"/>
      <c r="S45" s="359"/>
    </row>
    <row r="46" spans="1:19" s="17" customFormat="1" ht="15">
      <c r="A46" s="1065" t="s">
        <v>41</v>
      </c>
      <c r="B46" s="1065"/>
      <c r="C46" s="1065"/>
      <c r="D46" s="1065"/>
      <c r="E46" s="1065"/>
      <c r="F46" s="1065"/>
      <c r="G46" s="1065"/>
      <c r="H46" s="1065"/>
      <c r="I46" s="1065"/>
      <c r="J46" s="1065"/>
      <c r="K46" s="369"/>
      <c r="L46" s="359"/>
      <c r="M46" s="370"/>
      <c r="N46" s="359"/>
      <c r="O46" s="359"/>
      <c r="P46" s="359"/>
      <c r="Q46" s="359"/>
      <c r="R46" s="359"/>
      <c r="S46" s="359"/>
    </row>
    <row r="47" spans="1:19" s="17" customFormat="1" ht="15">
      <c r="A47" s="1031" t="s">
        <v>47</v>
      </c>
      <c r="B47" s="1031"/>
      <c r="C47" s="1031"/>
      <c r="D47" s="1031"/>
      <c r="E47" s="1031"/>
      <c r="F47" s="1031"/>
      <c r="G47" s="1031"/>
      <c r="H47" s="1031"/>
      <c r="I47" s="237" t="s">
        <v>3</v>
      </c>
      <c r="J47" s="237" t="s">
        <v>1</v>
      </c>
      <c r="K47" s="369"/>
      <c r="L47" s="364"/>
      <c r="M47" s="370"/>
      <c r="N47" s="359"/>
      <c r="O47" s="359"/>
      <c r="P47" s="359"/>
      <c r="Q47" s="359"/>
      <c r="R47" s="359"/>
      <c r="S47" s="359"/>
    </row>
    <row r="48" spans="1:19" s="17" customFormat="1" ht="15">
      <c r="A48" s="238" t="s">
        <v>7</v>
      </c>
      <c r="B48" s="1027" t="s">
        <v>178</v>
      </c>
      <c r="C48" s="1027"/>
      <c r="D48" s="1027"/>
      <c r="E48" s="1027"/>
      <c r="F48" s="1027"/>
      <c r="G48" s="1027"/>
      <c r="H48" s="1027"/>
      <c r="I48" s="389">
        <v>8.3299999999999999E-2</v>
      </c>
      <c r="J48" s="274">
        <f>$J$42*I48</f>
        <v>151.72187029999998</v>
      </c>
      <c r="K48" s="369"/>
      <c r="L48" s="371"/>
      <c r="M48" s="359"/>
      <c r="N48" s="359"/>
      <c r="O48" s="359"/>
      <c r="P48" s="359"/>
      <c r="Q48" s="359"/>
      <c r="R48" s="359"/>
      <c r="S48" s="359"/>
    </row>
    <row r="49" spans="1:19" s="17" customFormat="1" ht="15">
      <c r="A49" s="238" t="s">
        <v>8</v>
      </c>
      <c r="B49" s="1027" t="s">
        <v>172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I49*J42</f>
        <v>151.72187029999998</v>
      </c>
      <c r="K49" s="369"/>
      <c r="L49" s="371"/>
      <c r="M49" s="359"/>
      <c r="N49" s="359"/>
      <c r="O49" s="359"/>
      <c r="P49" s="359"/>
      <c r="Q49" s="359"/>
      <c r="R49" s="359"/>
      <c r="S49" s="359"/>
    </row>
    <row r="50" spans="1:19" s="17" customFormat="1" ht="15">
      <c r="A50" s="238" t="s">
        <v>9</v>
      </c>
      <c r="B50" s="1027" t="s">
        <v>174</v>
      </c>
      <c r="C50" s="1027"/>
      <c r="D50" s="1027"/>
      <c r="E50" s="1027"/>
      <c r="F50" s="1027"/>
      <c r="G50" s="1027"/>
      <c r="H50" s="1027"/>
      <c r="I50" s="388">
        <v>2.7699999999999999E-2</v>
      </c>
      <c r="J50" s="274">
        <f>(J42*33.33%)*I50</f>
        <v>16.815828482309996</v>
      </c>
      <c r="K50" s="372"/>
      <c r="L50" s="371"/>
      <c r="M50" s="359"/>
      <c r="N50" s="359"/>
      <c r="O50" s="359"/>
      <c r="P50" s="359"/>
      <c r="Q50" s="359"/>
      <c r="R50" s="359"/>
      <c r="S50" s="359"/>
    </row>
    <row r="51" spans="1:19" s="17" customFormat="1" ht="15">
      <c r="A51" s="1065" t="s">
        <v>43</v>
      </c>
      <c r="B51" s="1065"/>
      <c r="C51" s="1065"/>
      <c r="D51" s="1065"/>
      <c r="E51" s="1065"/>
      <c r="F51" s="1065"/>
      <c r="G51" s="1065"/>
      <c r="H51" s="1065"/>
      <c r="I51" s="338">
        <f>SUM(I48:I50)</f>
        <v>0.1943</v>
      </c>
      <c r="J51" s="341">
        <f>SUM(J48:J50)</f>
        <v>320.25956908230995</v>
      </c>
      <c r="K51" s="369"/>
      <c r="L51" s="373"/>
      <c r="M51" s="359"/>
      <c r="N51" s="359"/>
      <c r="O51" s="359"/>
      <c r="P51" s="359"/>
      <c r="Q51" s="359"/>
      <c r="R51" s="359"/>
      <c r="S51" s="359"/>
    </row>
    <row r="52" spans="1:19" s="17" customFormat="1" ht="15">
      <c r="A52" s="1058"/>
      <c r="B52" s="1028"/>
      <c r="C52" s="1028"/>
      <c r="D52" s="1028"/>
      <c r="E52" s="1028"/>
      <c r="F52" s="1028"/>
      <c r="G52" s="1028"/>
      <c r="H52" s="1028"/>
      <c r="I52" s="1028"/>
      <c r="J52" s="1029"/>
      <c r="K52" s="369"/>
      <c r="L52" s="373"/>
      <c r="M52" s="359"/>
      <c r="N52" s="359"/>
      <c r="O52" s="359"/>
      <c r="P52" s="359"/>
      <c r="Q52" s="359"/>
      <c r="R52" s="359"/>
      <c r="S52" s="359"/>
    </row>
    <row r="53" spans="1:19" s="17" customFormat="1" ht="15">
      <c r="A53" s="1065" t="s">
        <v>48</v>
      </c>
      <c r="B53" s="1065"/>
      <c r="C53" s="1065"/>
      <c r="D53" s="1065"/>
      <c r="E53" s="1065"/>
      <c r="F53" s="1065"/>
      <c r="G53" s="1065"/>
      <c r="H53" s="1065"/>
      <c r="I53" s="334" t="s">
        <v>3</v>
      </c>
      <c r="J53" s="334" t="s">
        <v>1</v>
      </c>
      <c r="K53" s="369"/>
      <c r="L53" s="373"/>
      <c r="M53" s="359"/>
      <c r="N53" s="359"/>
      <c r="O53" s="359"/>
      <c r="P53" s="359"/>
      <c r="Q53" s="359"/>
      <c r="R53" s="359"/>
      <c r="S53" s="359"/>
    </row>
    <row r="54" spans="1:19" s="17" customFormat="1" ht="15">
      <c r="A54" s="238" t="s">
        <v>7</v>
      </c>
      <c r="B54" s="1068" t="s">
        <v>84</v>
      </c>
      <c r="C54" s="1068"/>
      <c r="D54" s="1068"/>
      <c r="E54" s="1068"/>
      <c r="F54" s="1068"/>
      <c r="G54" s="1068"/>
      <c r="H54" s="1068"/>
      <c r="I54" s="272">
        <v>0.2</v>
      </c>
      <c r="J54" s="273">
        <f>I54*(J51+J42)</f>
        <v>428.33011381646196</v>
      </c>
      <c r="K54" s="369"/>
      <c r="L54" s="373"/>
      <c r="M54" s="359"/>
      <c r="N54" s="359"/>
      <c r="O54" s="359"/>
      <c r="P54" s="359"/>
      <c r="Q54" s="359"/>
      <c r="R54" s="359"/>
      <c r="S54" s="359"/>
    </row>
    <row r="55" spans="1:19" s="17" customFormat="1" ht="14.25" customHeight="1">
      <c r="A55" s="238" t="s">
        <v>8</v>
      </c>
      <c r="B55" s="1068" t="s">
        <v>85</v>
      </c>
      <c r="C55" s="1068"/>
      <c r="D55" s="1068"/>
      <c r="E55" s="1068"/>
      <c r="F55" s="1068"/>
      <c r="G55" s="1068"/>
      <c r="H55" s="1068"/>
      <c r="I55" s="272">
        <v>2.5000000000000001E-2</v>
      </c>
      <c r="J55" s="273">
        <f>I55*(J51+J42)</f>
        <v>53.541264227057745</v>
      </c>
      <c r="K55" s="369"/>
      <c r="L55" s="373"/>
      <c r="M55" s="359"/>
      <c r="N55" s="359"/>
      <c r="O55" s="359"/>
      <c r="P55" s="359"/>
      <c r="Q55" s="359"/>
      <c r="R55" s="359"/>
      <c r="S55" s="359"/>
    </row>
    <row r="56" spans="1:19" s="17" customFormat="1" ht="19.5" customHeight="1">
      <c r="A56" s="238" t="s">
        <v>9</v>
      </c>
      <c r="B56" s="1069" t="s">
        <v>166</v>
      </c>
      <c r="C56" s="1069"/>
      <c r="D56" s="1069"/>
      <c r="E56" s="1069"/>
      <c r="F56" s="1069"/>
      <c r="G56" s="1069"/>
      <c r="H56" s="1069"/>
      <c r="I56" s="272">
        <v>0.03</v>
      </c>
      <c r="J56" s="273">
        <f>I56*(J51+J42)</f>
        <v>64.249517072469288</v>
      </c>
      <c r="K56" s="369"/>
      <c r="L56" s="374"/>
      <c r="M56" s="359"/>
      <c r="N56" s="359"/>
      <c r="O56" s="359"/>
      <c r="P56" s="359"/>
      <c r="Q56" s="359"/>
      <c r="R56" s="359"/>
      <c r="S56" s="359"/>
    </row>
    <row r="57" spans="1:19" s="17" customFormat="1" ht="14.25" customHeight="1">
      <c r="A57" s="238" t="s">
        <v>10</v>
      </c>
      <c r="B57" s="1068" t="s">
        <v>45</v>
      </c>
      <c r="C57" s="1068"/>
      <c r="D57" s="1068"/>
      <c r="E57" s="1068"/>
      <c r="F57" s="1068"/>
      <c r="G57" s="1068"/>
      <c r="H57" s="1068"/>
      <c r="I57" s="272">
        <v>7.4999999999999997E-3</v>
      </c>
      <c r="J57" s="273">
        <f>I57*(J51+J42)</f>
        <v>16.062379268117322</v>
      </c>
      <c r="K57" s="369"/>
      <c r="L57" s="373"/>
      <c r="M57" s="359"/>
      <c r="N57" s="359"/>
      <c r="O57" s="359"/>
      <c r="P57" s="359"/>
      <c r="Q57" s="359"/>
      <c r="R57" s="359"/>
      <c r="S57" s="359"/>
    </row>
    <row r="58" spans="1:19" s="17" customFormat="1" ht="14.25" customHeight="1">
      <c r="A58" s="238" t="s">
        <v>11</v>
      </c>
      <c r="B58" s="1068" t="s">
        <v>86</v>
      </c>
      <c r="C58" s="1068"/>
      <c r="D58" s="1068"/>
      <c r="E58" s="1068"/>
      <c r="F58" s="1068"/>
      <c r="G58" s="1068"/>
      <c r="H58" s="1068"/>
      <c r="I58" s="272">
        <v>5.0000000000000001E-3</v>
      </c>
      <c r="J58" s="273">
        <f>I58*(J51+J43)</f>
        <v>10.708252845411549</v>
      </c>
      <c r="K58" s="369"/>
      <c r="L58" s="373"/>
      <c r="M58" s="359"/>
      <c r="N58" s="359"/>
      <c r="O58" s="359"/>
      <c r="P58" s="359"/>
      <c r="Q58" s="359"/>
      <c r="R58" s="359"/>
      <c r="S58" s="359"/>
    </row>
    <row r="59" spans="1:19" s="17" customFormat="1" ht="15">
      <c r="A59" s="238" t="s">
        <v>12</v>
      </c>
      <c r="B59" s="1069" t="s">
        <v>87</v>
      </c>
      <c r="C59" s="1069"/>
      <c r="D59" s="1069"/>
      <c r="E59" s="1069"/>
      <c r="F59" s="1069"/>
      <c r="G59" s="1069"/>
      <c r="H59" s="1069"/>
      <c r="I59" s="272">
        <v>6.0000000000000001E-3</v>
      </c>
      <c r="J59" s="273">
        <f>I59*(J51+J42)</f>
        <v>12.849903414493857</v>
      </c>
      <c r="K59" s="369"/>
      <c r="L59" s="373"/>
      <c r="M59" s="359"/>
      <c r="N59" s="359"/>
      <c r="O59" s="359"/>
      <c r="P59" s="359"/>
      <c r="Q59" s="359"/>
      <c r="R59" s="359"/>
      <c r="S59" s="359"/>
    </row>
    <row r="60" spans="1:19" s="17" customFormat="1" ht="15">
      <c r="A60" s="238" t="s">
        <v>13</v>
      </c>
      <c r="B60" s="1069" t="s">
        <v>88</v>
      </c>
      <c r="C60" s="1069"/>
      <c r="D60" s="1069"/>
      <c r="E60" s="1069"/>
      <c r="F60" s="1069"/>
      <c r="G60" s="1069"/>
      <c r="H60" s="1069"/>
      <c r="I60" s="272">
        <v>2E-3</v>
      </c>
      <c r="J60" s="273">
        <f>I60*(J51+J42)</f>
        <v>4.2833011381646191</v>
      </c>
      <c r="K60" s="369"/>
      <c r="L60" s="373"/>
      <c r="M60" s="359"/>
      <c r="N60" s="359"/>
      <c r="O60" s="359"/>
      <c r="P60" s="359"/>
      <c r="Q60" s="359"/>
      <c r="R60" s="359"/>
      <c r="S60" s="359"/>
    </row>
    <row r="61" spans="1:19" s="17" customFormat="1" ht="15">
      <c r="A61" s="238" t="s">
        <v>14</v>
      </c>
      <c r="B61" s="1069" t="s">
        <v>89</v>
      </c>
      <c r="C61" s="1069"/>
      <c r="D61" s="1069"/>
      <c r="E61" s="1069"/>
      <c r="F61" s="1069"/>
      <c r="G61" s="1069"/>
      <c r="H61" s="1069"/>
      <c r="I61" s="272">
        <v>0.08</v>
      </c>
      <c r="J61" s="273">
        <f>I61*(J51+J42)</f>
        <v>171.33204552658478</v>
      </c>
      <c r="K61" s="369"/>
      <c r="L61" s="373"/>
      <c r="M61" s="359"/>
      <c r="N61" s="359"/>
      <c r="O61" s="359"/>
      <c r="P61" s="359"/>
      <c r="Q61" s="359"/>
      <c r="R61" s="359"/>
      <c r="S61" s="359"/>
    </row>
    <row r="62" spans="1:19" s="17" customFormat="1" ht="15">
      <c r="A62" s="1065" t="s">
        <v>46</v>
      </c>
      <c r="B62" s="1065"/>
      <c r="C62" s="1065"/>
      <c r="D62" s="1065"/>
      <c r="E62" s="1065"/>
      <c r="F62" s="1065"/>
      <c r="G62" s="1065"/>
      <c r="H62" s="1065"/>
      <c r="I62" s="338">
        <f>SUM(I54:I61)</f>
        <v>0.35550000000000004</v>
      </c>
      <c r="J62" s="340">
        <f>TRUNC(SUM(J54:J61),2)</f>
        <v>761.35</v>
      </c>
      <c r="K62" s="369"/>
      <c r="L62" s="373"/>
      <c r="M62" s="359"/>
      <c r="N62" s="359"/>
      <c r="O62" s="359"/>
      <c r="P62" s="359"/>
      <c r="Q62" s="359"/>
      <c r="R62" s="359"/>
      <c r="S62" s="359"/>
    </row>
    <row r="63" spans="1:19" s="17" customFormat="1" ht="15">
      <c r="A63" s="291"/>
      <c r="B63" s="1070"/>
      <c r="C63" s="1070"/>
      <c r="D63" s="1070"/>
      <c r="E63" s="1070"/>
      <c r="F63" s="1070"/>
      <c r="G63" s="1070"/>
      <c r="H63" s="1070"/>
      <c r="I63" s="1070"/>
      <c r="J63" s="1070"/>
      <c r="K63" s="369"/>
      <c r="L63" s="373"/>
      <c r="M63" s="359"/>
      <c r="N63" s="359"/>
      <c r="O63" s="359"/>
      <c r="P63" s="359"/>
      <c r="Q63" s="359"/>
      <c r="R63" s="359"/>
      <c r="S63" s="359"/>
    </row>
    <row r="64" spans="1:19" s="17" customFormat="1" ht="15">
      <c r="A64" s="1065" t="s">
        <v>49</v>
      </c>
      <c r="B64" s="1065"/>
      <c r="C64" s="1065"/>
      <c r="D64" s="1065"/>
      <c r="E64" s="1065"/>
      <c r="F64" s="1065"/>
      <c r="G64" s="1065"/>
      <c r="H64" s="1065"/>
      <c r="I64" s="1065" t="s">
        <v>1</v>
      </c>
      <c r="J64" s="1065"/>
      <c r="K64" s="369"/>
      <c r="L64" s="373"/>
      <c r="M64" s="359"/>
      <c r="N64" s="359"/>
      <c r="O64" s="359"/>
      <c r="P64" s="359"/>
      <c r="Q64" s="359"/>
      <c r="R64" s="359"/>
      <c r="S64" s="359"/>
    </row>
    <row r="65" spans="1:19" s="17" customFormat="1" ht="13.5" customHeight="1">
      <c r="A65" s="1229" t="s">
        <v>7</v>
      </c>
      <c r="B65" s="1243" t="s">
        <v>113</v>
      </c>
      <c r="C65" s="1243"/>
      <c r="D65" s="1243"/>
      <c r="E65" s="266" t="s">
        <v>90</v>
      </c>
      <c r="F65" s="266" t="s">
        <v>91</v>
      </c>
      <c r="G65" s="266" t="s">
        <v>92</v>
      </c>
      <c r="H65" s="266" t="s">
        <v>93</v>
      </c>
      <c r="I65" s="1231"/>
      <c r="J65" s="1232">
        <f>(E66*F66*G66)-(J34*H66)/2</f>
        <v>65.9679</v>
      </c>
      <c r="K65" s="369"/>
      <c r="L65" s="371"/>
      <c r="M65" s="359"/>
      <c r="N65" s="359"/>
      <c r="O65" s="359"/>
      <c r="P65" s="359"/>
      <c r="Q65" s="359"/>
      <c r="R65" s="359"/>
      <c r="S65" s="359"/>
    </row>
    <row r="66" spans="1:19" s="17" customFormat="1" ht="15">
      <c r="A66" s="1229"/>
      <c r="B66" s="1243"/>
      <c r="C66" s="1243"/>
      <c r="D66" s="1243"/>
      <c r="E66" s="267">
        <v>3.6</v>
      </c>
      <c r="F66" s="268">
        <v>2</v>
      </c>
      <c r="G66" s="268">
        <v>15</v>
      </c>
      <c r="H66" s="266">
        <v>0.06</v>
      </c>
      <c r="I66" s="1231"/>
      <c r="J66" s="1232"/>
      <c r="K66" s="369"/>
      <c r="L66" s="373"/>
      <c r="M66" s="359"/>
      <c r="N66" s="359"/>
      <c r="O66" s="359"/>
      <c r="P66" s="359"/>
      <c r="Q66" s="375">
        <f>E66*F66*G66</f>
        <v>108</v>
      </c>
      <c r="R66" s="376">
        <f>J34*6%/2</f>
        <v>42.0321</v>
      </c>
      <c r="S66" s="375">
        <f>Q66-R66</f>
        <v>65.9679</v>
      </c>
    </row>
    <row r="67" spans="1:19" s="17" customFormat="1" ht="12.75" customHeight="1">
      <c r="A67" s="269" t="s">
        <v>8</v>
      </c>
      <c r="B67" s="1233" t="s">
        <v>173</v>
      </c>
      <c r="C67" s="1233"/>
      <c r="D67" s="1233"/>
      <c r="E67" s="1233"/>
      <c r="F67" s="1233"/>
      <c r="G67" s="1233"/>
      <c r="H67" s="1233"/>
      <c r="I67" s="270">
        <v>26</v>
      </c>
      <c r="J67" s="271">
        <f>(I67*15)*0.99</f>
        <v>386.1</v>
      </c>
      <c r="K67" s="369"/>
      <c r="L67" s="373"/>
      <c r="M67" s="359"/>
      <c r="N67" s="359"/>
      <c r="O67" s="359"/>
      <c r="P67" s="359"/>
      <c r="Q67" s="359"/>
      <c r="R67" s="359"/>
      <c r="S67" s="359"/>
    </row>
    <row r="68" spans="1:19" s="17" customFormat="1" ht="12.75" customHeight="1">
      <c r="A68" s="269" t="s">
        <v>9</v>
      </c>
      <c r="B68" s="1233" t="s">
        <v>146</v>
      </c>
      <c r="C68" s="1233"/>
      <c r="D68" s="1233"/>
      <c r="E68" s="1233"/>
      <c r="F68" s="1233"/>
      <c r="G68" s="1233"/>
      <c r="H68" s="1233"/>
      <c r="I68" s="270">
        <v>2</v>
      </c>
      <c r="J68" s="271">
        <f>I68</f>
        <v>2</v>
      </c>
      <c r="K68" s="369"/>
      <c r="L68" s="373"/>
      <c r="M68" s="359"/>
      <c r="N68" s="359"/>
      <c r="O68" s="359"/>
      <c r="P68" s="359"/>
      <c r="Q68" s="359"/>
      <c r="R68" s="359"/>
      <c r="S68" s="359"/>
    </row>
    <row r="69" spans="1:19" s="17" customFormat="1" ht="15">
      <c r="A69" s="269" t="s">
        <v>10</v>
      </c>
      <c r="B69" s="1234" t="s">
        <v>98</v>
      </c>
      <c r="C69" s="1234"/>
      <c r="D69" s="1234"/>
      <c r="E69" s="1234"/>
      <c r="F69" s="1234"/>
      <c r="G69" s="1234"/>
      <c r="H69" s="1234"/>
      <c r="I69" s="270">
        <v>0</v>
      </c>
      <c r="J69" s="271">
        <v>13.89</v>
      </c>
      <c r="K69" s="369"/>
      <c r="L69" s="373"/>
      <c r="M69" s="359"/>
      <c r="N69" s="359"/>
      <c r="O69" s="359"/>
      <c r="P69" s="359"/>
      <c r="Q69" s="359"/>
      <c r="R69" s="359"/>
      <c r="S69" s="359"/>
    </row>
    <row r="70" spans="1:19" s="17" customFormat="1" ht="12.75" customHeight="1">
      <c r="A70" s="269" t="s">
        <v>11</v>
      </c>
      <c r="B70" s="1233" t="s">
        <v>175</v>
      </c>
      <c r="C70" s="1233"/>
      <c r="D70" s="1233"/>
      <c r="E70" s="1233"/>
      <c r="F70" s="1233"/>
      <c r="G70" s="1233"/>
      <c r="H70" s="1233"/>
      <c r="I70" s="270">
        <v>0</v>
      </c>
      <c r="J70" s="271">
        <f>I70*15</f>
        <v>0</v>
      </c>
      <c r="K70" s="368">
        <f>J43/220</f>
        <v>8.2790499999999998</v>
      </c>
      <c r="L70" s="373"/>
      <c r="M70" s="359"/>
      <c r="N70" s="359"/>
      <c r="O70" s="359"/>
      <c r="P70" s="359"/>
      <c r="Q70" s="367">
        <f>K70*1.5</f>
        <v>12.418575000000001</v>
      </c>
      <c r="R70" s="359"/>
      <c r="S70" s="359"/>
    </row>
    <row r="71" spans="1:19" s="17" customFormat="1" ht="15">
      <c r="A71" s="269" t="s">
        <v>12</v>
      </c>
      <c r="B71" s="1235" t="s">
        <v>179</v>
      </c>
      <c r="C71" s="1235"/>
      <c r="D71" s="1235"/>
      <c r="E71" s="1235"/>
      <c r="F71" s="1235"/>
      <c r="G71" s="1235"/>
      <c r="H71" s="1235"/>
      <c r="I71" s="270">
        <f>Q71</f>
        <v>16.5581</v>
      </c>
      <c r="J71" s="271">
        <f>I71</f>
        <v>16.5581</v>
      </c>
      <c r="K71" s="368">
        <f>J42/220</f>
        <v>8.2790499999999998</v>
      </c>
      <c r="L71" s="373"/>
      <c r="M71" s="359"/>
      <c r="N71" s="359"/>
      <c r="O71" s="359"/>
      <c r="P71" s="359"/>
      <c r="Q71" s="367">
        <f>K71*2</f>
        <v>16.5581</v>
      </c>
      <c r="R71" s="359"/>
      <c r="S71" s="359"/>
    </row>
    <row r="72" spans="1:19" s="17" customFormat="1" ht="15">
      <c r="A72" s="1034" t="s">
        <v>50</v>
      </c>
      <c r="B72" s="1034"/>
      <c r="C72" s="1034"/>
      <c r="D72" s="1034"/>
      <c r="E72" s="1034"/>
      <c r="F72" s="1034"/>
      <c r="G72" s="1034"/>
      <c r="H72" s="1034"/>
      <c r="I72" s="1034"/>
      <c r="J72" s="271">
        <f>TRUNC(SUM(J65:J71),2)</f>
        <v>484.51</v>
      </c>
      <c r="K72" s="369"/>
      <c r="L72" s="373"/>
      <c r="M72" s="359"/>
      <c r="N72" s="359"/>
      <c r="O72" s="359"/>
      <c r="P72" s="359"/>
      <c r="Q72" s="359"/>
      <c r="R72" s="359"/>
      <c r="S72" s="359"/>
    </row>
    <row r="73" spans="1:19" s="17" customFormat="1" ht="15">
      <c r="A73" s="291"/>
      <c r="B73" s="1041"/>
      <c r="C73" s="1041"/>
      <c r="D73" s="1041"/>
      <c r="E73" s="1041"/>
      <c r="F73" s="1041"/>
      <c r="G73" s="1041"/>
      <c r="H73" s="1041"/>
      <c r="I73" s="1041"/>
      <c r="J73" s="1042"/>
      <c r="K73" s="369"/>
      <c r="L73" s="373"/>
      <c r="M73" s="359"/>
      <c r="N73" s="359"/>
      <c r="O73" s="359"/>
      <c r="P73" s="359"/>
      <c r="Q73" s="359"/>
      <c r="R73" s="359"/>
      <c r="S73" s="359"/>
    </row>
    <row r="74" spans="1:19" s="17" customFormat="1" ht="15">
      <c r="A74" s="1065" t="s">
        <v>51</v>
      </c>
      <c r="B74" s="1065"/>
      <c r="C74" s="1065"/>
      <c r="D74" s="1065"/>
      <c r="E74" s="1065"/>
      <c r="F74" s="1065"/>
      <c r="G74" s="1065"/>
      <c r="H74" s="1065"/>
      <c r="I74" s="1065"/>
      <c r="J74" s="1065"/>
      <c r="K74" s="369"/>
      <c r="L74" s="373"/>
      <c r="M74" s="359"/>
      <c r="N74" s="359"/>
      <c r="O74" s="359"/>
      <c r="P74" s="359"/>
      <c r="Q74" s="359"/>
      <c r="R74" s="359"/>
      <c r="S74" s="359"/>
    </row>
    <row r="75" spans="1:19" s="17" customFormat="1" ht="15">
      <c r="A75" s="1065" t="s">
        <v>55</v>
      </c>
      <c r="B75" s="1065"/>
      <c r="C75" s="1065"/>
      <c r="D75" s="1065"/>
      <c r="E75" s="1065"/>
      <c r="F75" s="1065"/>
      <c r="G75" s="1065"/>
      <c r="H75" s="1065"/>
      <c r="I75" s="1065"/>
      <c r="J75" s="334" t="s">
        <v>1</v>
      </c>
      <c r="K75" s="369"/>
      <c r="L75" s="373"/>
      <c r="M75" s="359"/>
      <c r="N75" s="359"/>
      <c r="O75" s="359"/>
      <c r="P75" s="359"/>
      <c r="Q75" s="359"/>
      <c r="R75" s="359"/>
      <c r="S75" s="359"/>
    </row>
    <row r="76" spans="1:19" s="17" customFormat="1" ht="15">
      <c r="A76" s="263" t="s">
        <v>52</v>
      </c>
      <c r="B76" s="1044" t="s">
        <v>42</v>
      </c>
      <c r="C76" s="1044"/>
      <c r="D76" s="1044"/>
      <c r="E76" s="1044"/>
      <c r="F76" s="1044"/>
      <c r="G76" s="1044"/>
      <c r="H76" s="1044"/>
      <c r="I76" s="1044"/>
      <c r="J76" s="242">
        <f>J51</f>
        <v>320.25956908230995</v>
      </c>
      <c r="K76" s="369"/>
      <c r="L76" s="373"/>
      <c r="M76" s="359"/>
      <c r="N76" s="359"/>
      <c r="O76" s="359"/>
      <c r="P76" s="359"/>
      <c r="Q76" s="359"/>
      <c r="R76" s="359"/>
      <c r="S76" s="359"/>
    </row>
    <row r="77" spans="1:19" s="17" customFormat="1" ht="15">
      <c r="A77" s="264" t="s">
        <v>53</v>
      </c>
      <c r="B77" s="1044" t="s">
        <v>44</v>
      </c>
      <c r="C77" s="1044"/>
      <c r="D77" s="1044"/>
      <c r="E77" s="1044"/>
      <c r="F77" s="1044"/>
      <c r="G77" s="1044"/>
      <c r="H77" s="1044"/>
      <c r="I77" s="1044"/>
      <c r="J77" s="246">
        <f>J62</f>
        <v>761.35</v>
      </c>
      <c r="K77" s="369"/>
      <c r="L77" s="373"/>
      <c r="M77" s="359"/>
      <c r="N77" s="359"/>
      <c r="O77" s="359"/>
      <c r="P77" s="359"/>
      <c r="Q77" s="359"/>
      <c r="R77" s="359"/>
      <c r="S77" s="359"/>
    </row>
    <row r="78" spans="1:19" s="17" customFormat="1" ht="15">
      <c r="A78" s="264" t="s">
        <v>54</v>
      </c>
      <c r="B78" s="1044" t="s">
        <v>56</v>
      </c>
      <c r="C78" s="1044"/>
      <c r="D78" s="1044"/>
      <c r="E78" s="1044"/>
      <c r="F78" s="1044"/>
      <c r="G78" s="1044"/>
      <c r="H78" s="1044"/>
      <c r="I78" s="1044"/>
      <c r="J78" s="246">
        <f>J72</f>
        <v>484.51</v>
      </c>
      <c r="K78" s="369"/>
      <c r="L78" s="373"/>
      <c r="M78" s="359"/>
      <c r="N78" s="359"/>
      <c r="O78" s="359"/>
      <c r="P78" s="359"/>
      <c r="Q78" s="359"/>
      <c r="R78" s="359"/>
      <c r="S78" s="359"/>
    </row>
    <row r="79" spans="1:19" s="17" customFormat="1" ht="15">
      <c r="A79" s="316"/>
      <c r="B79" s="1031" t="s">
        <v>58</v>
      </c>
      <c r="C79" s="1031"/>
      <c r="D79" s="1031"/>
      <c r="E79" s="1031"/>
      <c r="F79" s="1031"/>
      <c r="G79" s="1031"/>
      <c r="H79" s="1031"/>
      <c r="I79" s="1031"/>
      <c r="J79" s="265">
        <f>TRUNC(SUM(J76:J78),2)</f>
        <v>1566.11</v>
      </c>
      <c r="K79" s="369"/>
      <c r="L79" s="373"/>
      <c r="M79" s="359"/>
      <c r="N79" s="359"/>
      <c r="O79" s="359"/>
      <c r="P79" s="359"/>
      <c r="Q79" s="359"/>
      <c r="R79" s="359"/>
      <c r="S79" s="359"/>
    </row>
    <row r="80" spans="1:19" s="17" customFormat="1" ht="15">
      <c r="A80" s="1065" t="s">
        <v>59</v>
      </c>
      <c r="B80" s="1065"/>
      <c r="C80" s="1065"/>
      <c r="D80" s="1065"/>
      <c r="E80" s="1065"/>
      <c r="F80" s="1065"/>
      <c r="G80" s="1065"/>
      <c r="H80" s="1065"/>
      <c r="I80" s="1065"/>
      <c r="J80" s="1065"/>
      <c r="K80" s="369"/>
      <c r="L80" s="359"/>
      <c r="M80" s="359"/>
      <c r="N80" s="359"/>
      <c r="O80" s="359"/>
      <c r="P80" s="359"/>
      <c r="Q80" s="359"/>
      <c r="R80" s="359"/>
      <c r="S80" s="359"/>
    </row>
    <row r="81" spans="1:19" s="17" customFormat="1" ht="15">
      <c r="A81" s="237">
        <v>3</v>
      </c>
      <c r="B81" s="1031" t="s">
        <v>60</v>
      </c>
      <c r="C81" s="1031"/>
      <c r="D81" s="1031"/>
      <c r="E81" s="1031"/>
      <c r="F81" s="1031"/>
      <c r="G81" s="1031"/>
      <c r="H81" s="1031"/>
      <c r="I81" s="237" t="s">
        <v>3</v>
      </c>
      <c r="J81" s="237" t="s">
        <v>1</v>
      </c>
      <c r="K81" s="369"/>
      <c r="L81" s="359"/>
      <c r="M81" s="359"/>
      <c r="N81" s="359"/>
      <c r="O81" s="359"/>
      <c r="P81" s="359"/>
      <c r="Q81" s="359"/>
      <c r="R81" s="359"/>
      <c r="S81" s="359"/>
    </row>
    <row r="82" spans="1:19" s="17" customFormat="1" ht="15">
      <c r="A82" s="237" t="s">
        <v>7</v>
      </c>
      <c r="B82" s="1051" t="s">
        <v>101</v>
      </c>
      <c r="C82" s="1051"/>
      <c r="D82" s="1051"/>
      <c r="E82" s="1051"/>
      <c r="F82" s="1051"/>
      <c r="G82" s="1051"/>
      <c r="H82" s="1051"/>
      <c r="I82" s="384">
        <v>4.4999999999999997E-3</v>
      </c>
      <c r="J82" s="246">
        <f>J43*I82</f>
        <v>8.1962594999999983</v>
      </c>
      <c r="K82" s="369"/>
      <c r="L82" s="377"/>
      <c r="M82" s="359"/>
      <c r="N82" s="359"/>
      <c r="O82" s="359"/>
      <c r="P82" s="359"/>
      <c r="Q82" s="359"/>
      <c r="R82" s="359"/>
      <c r="S82" s="359"/>
    </row>
    <row r="83" spans="1:19" s="17" customFormat="1" ht="15">
      <c r="A83" s="237" t="s">
        <v>8</v>
      </c>
      <c r="B83" s="1044" t="s">
        <v>102</v>
      </c>
      <c r="C83" s="1044"/>
      <c r="D83" s="1044"/>
      <c r="E83" s="1044"/>
      <c r="F83" s="1044"/>
      <c r="G83" s="1044"/>
      <c r="H83" s="1044"/>
      <c r="I83" s="387">
        <f>I82*I61</f>
        <v>3.5999999999999997E-4</v>
      </c>
      <c r="J83" s="242">
        <f>I83*J43</f>
        <v>0.65570075999999988</v>
      </c>
      <c r="K83" s="369"/>
      <c r="L83" s="373"/>
      <c r="M83" s="359"/>
      <c r="N83" s="359"/>
      <c r="O83" s="359"/>
      <c r="P83" s="359"/>
      <c r="Q83" s="359"/>
      <c r="R83" s="359"/>
      <c r="S83" s="359"/>
    </row>
    <row r="84" spans="1:19" s="17" customFormat="1" ht="15">
      <c r="A84" s="237" t="s">
        <v>9</v>
      </c>
      <c r="B84" s="1051" t="s">
        <v>103</v>
      </c>
      <c r="C84" s="1051"/>
      <c r="D84" s="1051"/>
      <c r="E84" s="1051"/>
      <c r="F84" s="1051"/>
      <c r="G84" s="1051"/>
      <c r="H84" s="1051"/>
      <c r="I84" s="384">
        <v>0.02</v>
      </c>
      <c r="J84" s="242">
        <f>I84*J42</f>
        <v>36.427819999999997</v>
      </c>
      <c r="K84" s="369"/>
      <c r="L84" s="377"/>
      <c r="M84" s="359"/>
      <c r="N84" s="359"/>
      <c r="O84" s="359"/>
      <c r="P84" s="359"/>
      <c r="Q84" s="359"/>
      <c r="R84" s="359"/>
      <c r="S84" s="359"/>
    </row>
    <row r="85" spans="1:19" s="17" customFormat="1" ht="15">
      <c r="A85" s="237" t="s">
        <v>10</v>
      </c>
      <c r="B85" s="1044" t="s">
        <v>104</v>
      </c>
      <c r="C85" s="1044"/>
      <c r="D85" s="1044"/>
      <c r="E85" s="1044"/>
      <c r="F85" s="1044"/>
      <c r="G85" s="1044"/>
      <c r="H85" s="1044"/>
      <c r="I85" s="385">
        <v>1.9400000000000001E-2</v>
      </c>
      <c r="J85" s="242">
        <f>I85*J42</f>
        <v>35.334985400000001</v>
      </c>
      <c r="K85" s="369"/>
      <c r="L85" s="373"/>
      <c r="M85" s="359"/>
      <c r="N85" s="359"/>
      <c r="O85" s="359"/>
      <c r="P85" s="359"/>
      <c r="Q85" s="359"/>
      <c r="R85" s="359"/>
      <c r="S85" s="359"/>
    </row>
    <row r="86" spans="1:19" s="17" customFormat="1" ht="15">
      <c r="A86" s="237" t="s">
        <v>11</v>
      </c>
      <c r="B86" s="1044" t="s">
        <v>105</v>
      </c>
      <c r="C86" s="1044"/>
      <c r="D86" s="1044"/>
      <c r="E86" s="1044"/>
      <c r="F86" s="1044"/>
      <c r="G86" s="1044"/>
      <c r="H86" s="1044"/>
      <c r="I86" s="386">
        <f>I62*I85</f>
        <v>6.8967000000000013E-3</v>
      </c>
      <c r="J86" s="242">
        <f>I86*J42</f>
        <v>12.561587309700002</v>
      </c>
      <c r="K86" s="369"/>
      <c r="L86" s="373"/>
      <c r="M86" s="359"/>
      <c r="N86" s="359"/>
      <c r="O86" s="359"/>
      <c r="P86" s="359"/>
      <c r="Q86" s="359"/>
      <c r="R86" s="359"/>
      <c r="S86" s="359"/>
    </row>
    <row r="87" spans="1:19" s="17" customFormat="1" ht="15">
      <c r="A87" s="237" t="s">
        <v>12</v>
      </c>
      <c r="B87" s="1051" t="s">
        <v>106</v>
      </c>
      <c r="C87" s="1051"/>
      <c r="D87" s="1051"/>
      <c r="E87" s="1051"/>
      <c r="F87" s="1051"/>
      <c r="G87" s="1051"/>
      <c r="H87" s="1051"/>
      <c r="I87" s="384">
        <v>0.02</v>
      </c>
      <c r="J87" s="242">
        <f>I87*J42</f>
        <v>36.427819999999997</v>
      </c>
      <c r="K87" s="369"/>
      <c r="L87" s="377"/>
      <c r="M87" s="359"/>
      <c r="N87" s="359"/>
      <c r="O87" s="359"/>
      <c r="P87" s="359"/>
      <c r="Q87" s="359"/>
      <c r="R87" s="359"/>
      <c r="S87" s="359"/>
    </row>
    <row r="88" spans="1:19" s="17" customFormat="1" ht="15">
      <c r="A88" s="1065" t="s">
        <v>61</v>
      </c>
      <c r="B88" s="1065"/>
      <c r="C88" s="1065"/>
      <c r="D88" s="1065"/>
      <c r="E88" s="1065"/>
      <c r="F88" s="1065"/>
      <c r="G88" s="1065"/>
      <c r="H88" s="1065"/>
      <c r="I88" s="344">
        <f>SUM(I82:I87)</f>
        <v>7.1156700000000003E-2</v>
      </c>
      <c r="J88" s="339">
        <f>TRUNC(SUM(J82:J87),2)</f>
        <v>129.6</v>
      </c>
      <c r="K88" s="369"/>
      <c r="L88" s="373"/>
      <c r="M88" s="359"/>
      <c r="N88" s="359"/>
      <c r="O88" s="359"/>
      <c r="P88" s="359"/>
      <c r="Q88" s="359"/>
      <c r="R88" s="359"/>
      <c r="S88" s="359"/>
    </row>
    <row r="89" spans="1:19" s="17" customFormat="1" ht="15">
      <c r="A89" s="291"/>
      <c r="B89" s="1052"/>
      <c r="C89" s="1053"/>
      <c r="D89" s="1053"/>
      <c r="E89" s="1053"/>
      <c r="F89" s="1053"/>
      <c r="G89" s="1053"/>
      <c r="H89" s="1053"/>
      <c r="I89" s="1053"/>
      <c r="J89" s="1054"/>
      <c r="K89" s="369"/>
      <c r="L89" s="359"/>
      <c r="M89" s="359"/>
      <c r="N89" s="359"/>
      <c r="O89" s="359"/>
      <c r="P89" s="359"/>
      <c r="Q89" s="359"/>
      <c r="R89" s="359"/>
      <c r="S89" s="359"/>
    </row>
    <row r="90" spans="1:19" s="17" customFormat="1" ht="15">
      <c r="A90" s="1065" t="s">
        <v>62</v>
      </c>
      <c r="B90" s="1065"/>
      <c r="C90" s="1065"/>
      <c r="D90" s="1065"/>
      <c r="E90" s="1065"/>
      <c r="F90" s="1065"/>
      <c r="G90" s="1065"/>
      <c r="H90" s="1065"/>
      <c r="I90" s="1065"/>
      <c r="J90" s="1065"/>
      <c r="K90" s="369"/>
      <c r="L90" s="359"/>
      <c r="M90" s="359"/>
      <c r="N90" s="359"/>
      <c r="O90" s="359"/>
      <c r="P90" s="359"/>
      <c r="Q90" s="359"/>
      <c r="R90" s="359"/>
      <c r="S90" s="359"/>
    </row>
    <row r="91" spans="1:19" s="17" customFormat="1" ht="15">
      <c r="A91" s="1031" t="s">
        <v>63</v>
      </c>
      <c r="B91" s="1031"/>
      <c r="C91" s="1031"/>
      <c r="D91" s="1031"/>
      <c r="E91" s="1031"/>
      <c r="F91" s="1031"/>
      <c r="G91" s="1031"/>
      <c r="H91" s="1031"/>
      <c r="I91" s="237" t="s">
        <v>3</v>
      </c>
      <c r="J91" s="237" t="s">
        <v>1</v>
      </c>
      <c r="K91" s="369"/>
      <c r="L91" s="359"/>
      <c r="M91" s="359"/>
      <c r="N91" s="359"/>
      <c r="O91" s="359"/>
      <c r="P91" s="359"/>
      <c r="Q91" s="359"/>
      <c r="R91" s="359"/>
      <c r="S91" s="359"/>
    </row>
    <row r="92" spans="1:19" s="17" customFormat="1" ht="15">
      <c r="A92" s="237" t="s">
        <v>7</v>
      </c>
      <c r="B92" s="1044" t="s">
        <v>180</v>
      </c>
      <c r="C92" s="1044"/>
      <c r="D92" s="1044"/>
      <c r="E92" s="1044"/>
      <c r="F92" s="1044"/>
      <c r="G92" s="1044"/>
      <c r="H92" s="1044"/>
      <c r="I92" s="254">
        <v>1.7000000000000001E-2</v>
      </c>
      <c r="J92" s="242">
        <f>$J$42*I92</f>
        <v>30.963646999999998</v>
      </c>
      <c r="K92" s="369"/>
      <c r="L92" s="373"/>
      <c r="M92" s="359"/>
      <c r="N92" s="359"/>
      <c r="O92" s="359"/>
      <c r="P92" s="359"/>
      <c r="Q92" s="359"/>
      <c r="R92" s="359"/>
      <c r="S92" s="359"/>
    </row>
    <row r="93" spans="1:19" s="17" customFormat="1" ht="15">
      <c r="A93" s="243" t="s">
        <v>8</v>
      </c>
      <c r="B93" s="1044" t="s">
        <v>181</v>
      </c>
      <c r="C93" s="1044"/>
      <c r="D93" s="1044"/>
      <c r="E93" s="1044"/>
      <c r="F93" s="1044"/>
      <c r="G93" s="1044"/>
      <c r="H93" s="1044"/>
      <c r="I93" s="254">
        <v>4.4999999999999997E-3</v>
      </c>
      <c r="J93" s="246">
        <f t="shared" ref="J93:J97" si="0">$J$42*I93</f>
        <v>8.1962594999999983</v>
      </c>
      <c r="K93" s="369"/>
      <c r="L93" s="373"/>
      <c r="M93" s="359"/>
      <c r="N93" s="359"/>
      <c r="O93" s="359"/>
      <c r="P93" s="359"/>
      <c r="Q93" s="359"/>
      <c r="R93" s="359"/>
      <c r="S93" s="359"/>
    </row>
    <row r="94" spans="1:19" s="17" customFormat="1" ht="15">
      <c r="A94" s="243" t="s">
        <v>9</v>
      </c>
      <c r="B94" s="1044" t="s">
        <v>182</v>
      </c>
      <c r="C94" s="1044"/>
      <c r="D94" s="1044"/>
      <c r="E94" s="1044"/>
      <c r="F94" s="1044"/>
      <c r="G94" s="1044"/>
      <c r="H94" s="1044"/>
      <c r="I94" s="388">
        <v>2.0000000000000001E-4</v>
      </c>
      <c r="J94" s="246">
        <f t="shared" si="0"/>
        <v>0.3642782</v>
      </c>
      <c r="K94" s="369"/>
      <c r="L94" s="377"/>
      <c r="M94" s="359"/>
      <c r="N94" s="359"/>
      <c r="O94" s="359"/>
      <c r="P94" s="359"/>
      <c r="Q94" s="359"/>
      <c r="R94" s="359"/>
      <c r="S94" s="359"/>
    </row>
    <row r="95" spans="1:19" s="17" customFormat="1" ht="15">
      <c r="A95" s="243" t="s">
        <v>10</v>
      </c>
      <c r="B95" s="1044" t="s">
        <v>183</v>
      </c>
      <c r="C95" s="1044"/>
      <c r="D95" s="1044"/>
      <c r="E95" s="1044"/>
      <c r="F95" s="1044"/>
      <c r="G95" s="1044"/>
      <c r="H95" s="1044"/>
      <c r="I95" s="388">
        <v>2.7000000000000001E-3</v>
      </c>
      <c r="J95" s="246">
        <f t="shared" si="0"/>
        <v>4.9177556999999998</v>
      </c>
      <c r="K95" s="369"/>
      <c r="L95" s="377"/>
      <c r="M95" s="359"/>
      <c r="N95" s="359"/>
      <c r="O95" s="359"/>
      <c r="P95" s="359"/>
      <c r="Q95" s="359"/>
      <c r="R95" s="359"/>
      <c r="S95" s="359"/>
    </row>
    <row r="96" spans="1:19" s="17" customFormat="1" ht="15">
      <c r="A96" s="243" t="s">
        <v>11</v>
      </c>
      <c r="B96" s="1044" t="s">
        <v>184</v>
      </c>
      <c r="C96" s="1044"/>
      <c r="D96" s="1044"/>
      <c r="E96" s="1044"/>
      <c r="F96" s="1044"/>
      <c r="G96" s="1044"/>
      <c r="H96" s="1044"/>
      <c r="I96" s="388">
        <v>0</v>
      </c>
      <c r="J96" s="246">
        <f t="shared" si="0"/>
        <v>0</v>
      </c>
      <c r="K96" s="369"/>
      <c r="L96" s="373"/>
      <c r="M96" s="359"/>
      <c r="N96" s="359"/>
      <c r="O96" s="359"/>
      <c r="P96" s="359"/>
      <c r="Q96" s="359"/>
      <c r="R96" s="359"/>
      <c r="S96" s="359"/>
    </row>
    <row r="97" spans="1:19" s="17" customFormat="1" ht="15">
      <c r="A97" s="243" t="s">
        <v>12</v>
      </c>
      <c r="B97" s="1027" t="s">
        <v>165</v>
      </c>
      <c r="C97" s="1027"/>
      <c r="D97" s="1027"/>
      <c r="E97" s="1027"/>
      <c r="F97" s="1027"/>
      <c r="G97" s="1027"/>
      <c r="H97" s="1027"/>
      <c r="I97" s="254">
        <v>0</v>
      </c>
      <c r="J97" s="246">
        <f t="shared" si="0"/>
        <v>0</v>
      </c>
      <c r="K97" s="369"/>
      <c r="L97" s="373"/>
      <c r="M97" s="359"/>
      <c r="N97" s="359"/>
      <c r="O97" s="359"/>
      <c r="P97" s="359"/>
      <c r="Q97" s="359"/>
      <c r="R97" s="359"/>
      <c r="S97" s="359"/>
    </row>
    <row r="98" spans="1:19" s="17" customFormat="1" ht="15">
      <c r="A98" s="243"/>
      <c r="B98" s="1085" t="s">
        <v>126</v>
      </c>
      <c r="C98" s="1085"/>
      <c r="D98" s="1085"/>
      <c r="E98" s="1085"/>
      <c r="F98" s="1085"/>
      <c r="G98" s="1085"/>
      <c r="H98" s="1085"/>
      <c r="I98" s="255">
        <f>SUM(I92:I97)</f>
        <v>2.4400000000000002E-2</v>
      </c>
      <c r="J98" s="246">
        <f>SUM(J92:J97)</f>
        <v>44.4419404</v>
      </c>
      <c r="K98" s="369"/>
      <c r="L98" s="373"/>
      <c r="M98" s="359"/>
      <c r="N98" s="359"/>
      <c r="O98" s="359"/>
      <c r="P98" s="359"/>
      <c r="Q98" s="359"/>
      <c r="R98" s="359"/>
      <c r="S98" s="359"/>
    </row>
    <row r="99" spans="1:19" s="17" customFormat="1" ht="13.5" customHeight="1">
      <c r="A99" s="256" t="s">
        <v>13</v>
      </c>
      <c r="B99" s="1027" t="s">
        <v>165</v>
      </c>
      <c r="C99" s="1027"/>
      <c r="D99" s="1027"/>
      <c r="E99" s="1027"/>
      <c r="F99" s="1027"/>
      <c r="G99" s="1027"/>
      <c r="H99" s="1027"/>
      <c r="I99" s="257"/>
      <c r="J99" s="258"/>
      <c r="K99" s="369"/>
      <c r="L99" s="373"/>
      <c r="M99" s="359"/>
      <c r="N99" s="359"/>
      <c r="O99" s="359"/>
      <c r="P99" s="359"/>
      <c r="Q99" s="359"/>
      <c r="R99" s="359"/>
      <c r="S99" s="359"/>
    </row>
    <row r="100" spans="1:19" s="17" customFormat="1" ht="15">
      <c r="A100" s="1065" t="s">
        <v>96</v>
      </c>
      <c r="B100" s="1065"/>
      <c r="C100" s="1065"/>
      <c r="D100" s="1065"/>
      <c r="E100" s="1065"/>
      <c r="F100" s="1065"/>
      <c r="G100" s="1065"/>
      <c r="H100" s="1065"/>
      <c r="I100" s="338">
        <f>I98+I99</f>
        <v>2.4400000000000002E-2</v>
      </c>
      <c r="J100" s="339">
        <f>J98+J99</f>
        <v>44.4419404</v>
      </c>
      <c r="K100" s="369"/>
      <c r="L100" s="359"/>
      <c r="M100" s="359"/>
      <c r="N100" s="359"/>
      <c r="O100" s="359"/>
      <c r="P100" s="359"/>
      <c r="Q100" s="359"/>
      <c r="R100" s="359"/>
      <c r="S100" s="359"/>
    </row>
    <row r="101" spans="1:19" s="17" customFormat="1" ht="15">
      <c r="A101" s="1065" t="s">
        <v>17</v>
      </c>
      <c r="B101" s="1065"/>
      <c r="C101" s="1065"/>
      <c r="D101" s="1065"/>
      <c r="E101" s="1065"/>
      <c r="F101" s="1065"/>
      <c r="G101" s="1065"/>
      <c r="H101" s="1065"/>
      <c r="I101" s="1065"/>
      <c r="J101" s="339"/>
      <c r="K101" s="369"/>
      <c r="L101" s="359"/>
      <c r="M101" s="359"/>
      <c r="N101" s="359"/>
      <c r="O101" s="359"/>
      <c r="P101" s="359"/>
      <c r="Q101" s="359"/>
      <c r="R101" s="359"/>
      <c r="S101" s="359"/>
    </row>
    <row r="102" spans="1:19" s="17" customFormat="1" ht="15">
      <c r="A102" s="1058"/>
      <c r="B102" s="1028"/>
      <c r="C102" s="1028"/>
      <c r="D102" s="1028"/>
      <c r="E102" s="1028"/>
      <c r="F102" s="1028"/>
      <c r="G102" s="1028"/>
      <c r="H102" s="1028"/>
      <c r="I102" s="1028"/>
      <c r="J102" s="1029"/>
      <c r="K102" s="369"/>
      <c r="L102" s="359"/>
      <c r="M102" s="359"/>
      <c r="N102" s="359"/>
      <c r="O102" s="359"/>
      <c r="P102" s="359"/>
      <c r="Q102" s="359"/>
      <c r="R102" s="359"/>
      <c r="S102" s="359"/>
    </row>
    <row r="103" spans="1:19" s="17" customFormat="1" ht="15">
      <c r="A103" s="1065" t="s">
        <v>65</v>
      </c>
      <c r="B103" s="1065"/>
      <c r="C103" s="1065"/>
      <c r="D103" s="1065"/>
      <c r="E103" s="1065"/>
      <c r="F103" s="1065"/>
      <c r="G103" s="1065"/>
      <c r="H103" s="1065"/>
      <c r="I103" s="1065"/>
      <c r="J103" s="1065"/>
      <c r="K103" s="369"/>
      <c r="L103" s="359"/>
      <c r="M103" s="359"/>
      <c r="N103" s="359"/>
      <c r="O103" s="359"/>
      <c r="P103" s="359"/>
      <c r="Q103" s="359"/>
      <c r="R103" s="359"/>
      <c r="S103" s="359"/>
    </row>
    <row r="104" spans="1:19" s="17" customFormat="1" ht="15">
      <c r="A104" s="1065" t="s">
        <v>66</v>
      </c>
      <c r="B104" s="1065"/>
      <c r="C104" s="1065"/>
      <c r="D104" s="1065"/>
      <c r="E104" s="1065"/>
      <c r="F104" s="1065"/>
      <c r="G104" s="1065"/>
      <c r="H104" s="1065"/>
      <c r="I104" s="1065"/>
      <c r="J104" s="334" t="s">
        <v>1</v>
      </c>
      <c r="K104" s="369"/>
      <c r="L104" s="359"/>
      <c r="M104" s="359"/>
      <c r="N104" s="359"/>
      <c r="O104" s="359"/>
      <c r="P104" s="359"/>
      <c r="Q104" s="359"/>
      <c r="R104" s="359"/>
      <c r="S104" s="359"/>
    </row>
    <row r="105" spans="1:19" s="17" customFormat="1" ht="15">
      <c r="A105" s="237" t="s">
        <v>19</v>
      </c>
      <c r="B105" s="1038" t="s">
        <v>64</v>
      </c>
      <c r="C105" s="1039"/>
      <c r="D105" s="1039"/>
      <c r="E105" s="1039"/>
      <c r="F105" s="1039"/>
      <c r="G105" s="1039"/>
      <c r="H105" s="1039"/>
      <c r="I105" s="1040"/>
      <c r="J105" s="242">
        <f>J100</f>
        <v>44.4419404</v>
      </c>
      <c r="K105" s="369"/>
      <c r="L105" s="359"/>
      <c r="M105" s="359"/>
      <c r="N105" s="359"/>
      <c r="O105" s="359"/>
      <c r="P105" s="359"/>
      <c r="Q105" s="359"/>
      <c r="R105" s="359"/>
      <c r="S105" s="359"/>
    </row>
    <row r="106" spans="1:19" s="17" customFormat="1" ht="15">
      <c r="A106" s="243" t="s">
        <v>20</v>
      </c>
      <c r="B106" s="1027" t="s">
        <v>67</v>
      </c>
      <c r="C106" s="1027"/>
      <c r="D106" s="1027"/>
      <c r="E106" s="1027"/>
      <c r="F106" s="1027"/>
      <c r="G106" s="1027"/>
      <c r="H106" s="1027"/>
      <c r="I106" s="1027"/>
      <c r="J106" s="253">
        <f>((J34+J35)/220)*1.5*15</f>
        <v>186.27862500000001</v>
      </c>
      <c r="K106" s="369"/>
      <c r="L106" s="359"/>
      <c r="M106" s="359"/>
      <c r="N106" s="359"/>
      <c r="O106" s="359"/>
      <c r="P106" s="359"/>
      <c r="Q106" s="359"/>
      <c r="R106" s="359"/>
      <c r="S106" s="359"/>
    </row>
    <row r="107" spans="1:19" s="17" customFormat="1" ht="15">
      <c r="A107" s="1031" t="s">
        <v>68</v>
      </c>
      <c r="B107" s="1031"/>
      <c r="C107" s="1031"/>
      <c r="D107" s="1031"/>
      <c r="E107" s="1031"/>
      <c r="F107" s="1031"/>
      <c r="G107" s="1031"/>
      <c r="H107" s="1031"/>
      <c r="I107" s="1031"/>
      <c r="J107" s="249">
        <f>TRUNC(SUM(J105:J106),2)</f>
        <v>230.72</v>
      </c>
      <c r="K107" s="369"/>
      <c r="L107" s="359"/>
      <c r="M107" s="359"/>
      <c r="N107" s="359"/>
      <c r="O107" s="359"/>
      <c r="P107" s="359"/>
      <c r="Q107" s="359"/>
      <c r="R107" s="359"/>
      <c r="S107" s="359"/>
    </row>
    <row r="108" spans="1:19" s="17" customFormat="1" ht="15">
      <c r="A108" s="1065" t="s">
        <v>99</v>
      </c>
      <c r="B108" s="1065"/>
      <c r="C108" s="1065"/>
      <c r="D108" s="1065"/>
      <c r="E108" s="1065"/>
      <c r="F108" s="1065"/>
      <c r="G108" s="1065"/>
      <c r="H108" s="1065"/>
      <c r="I108" s="336">
        <f>I100+I88+I62+I51</f>
        <v>0.64535670000000001</v>
      </c>
      <c r="J108" s="337">
        <f>J100+J88+J62+J51</f>
        <v>1255.6515094823101</v>
      </c>
      <c r="K108" s="369"/>
      <c r="L108" s="359"/>
      <c r="M108" s="359"/>
      <c r="N108" s="359"/>
      <c r="O108" s="359"/>
      <c r="P108" s="359"/>
      <c r="Q108" s="359"/>
      <c r="R108" s="359"/>
      <c r="S108" s="359"/>
    </row>
    <row r="109" spans="1:19" s="17" customFormat="1" ht="15">
      <c r="A109" s="1058"/>
      <c r="B109" s="1028"/>
      <c r="C109" s="1028"/>
      <c r="D109" s="1028"/>
      <c r="E109" s="1028"/>
      <c r="F109" s="1028"/>
      <c r="G109" s="1028"/>
      <c r="H109" s="1028"/>
      <c r="I109" s="1028"/>
      <c r="J109" s="1029"/>
      <c r="K109" s="369"/>
      <c r="L109" s="359"/>
      <c r="M109" s="359"/>
      <c r="N109" s="359"/>
      <c r="O109" s="359"/>
      <c r="P109" s="359"/>
      <c r="Q109" s="359"/>
      <c r="R109" s="359"/>
      <c r="S109" s="359"/>
    </row>
    <row r="110" spans="1:19" s="17" customFormat="1" ht="15">
      <c r="A110" s="1065" t="s">
        <v>69</v>
      </c>
      <c r="B110" s="1065"/>
      <c r="C110" s="1065"/>
      <c r="D110" s="1065"/>
      <c r="E110" s="1065"/>
      <c r="F110" s="1065"/>
      <c r="G110" s="1065"/>
      <c r="H110" s="1065"/>
      <c r="I110" s="1065"/>
      <c r="J110" s="1065"/>
      <c r="K110" s="369"/>
      <c r="L110" s="359"/>
      <c r="M110" s="359"/>
      <c r="N110" s="359"/>
      <c r="O110" s="359"/>
      <c r="P110" s="359"/>
      <c r="Q110" s="359"/>
      <c r="R110" s="359"/>
      <c r="S110" s="359"/>
    </row>
    <row r="111" spans="1:19" s="17" customFormat="1" ht="15">
      <c r="A111" s="237">
        <v>5</v>
      </c>
      <c r="B111" s="1162" t="s">
        <v>16</v>
      </c>
      <c r="C111" s="1163"/>
      <c r="D111" s="1163"/>
      <c r="E111" s="1163"/>
      <c r="F111" s="1163"/>
      <c r="G111" s="1163"/>
      <c r="H111" s="1164"/>
      <c r="I111" s="237"/>
      <c r="J111" s="237" t="s">
        <v>1</v>
      </c>
      <c r="K111" s="369"/>
      <c r="L111" s="359"/>
      <c r="M111" s="359"/>
      <c r="N111" s="359"/>
      <c r="O111" s="359"/>
      <c r="P111" s="359"/>
      <c r="Q111" s="359"/>
      <c r="R111" s="359"/>
      <c r="S111" s="359"/>
    </row>
    <row r="112" spans="1:19" s="17" customFormat="1" ht="15">
      <c r="A112" s="237" t="s">
        <v>7</v>
      </c>
      <c r="B112" s="1038" t="s">
        <v>107</v>
      </c>
      <c r="C112" s="1039"/>
      <c r="D112" s="1039"/>
      <c r="E112" s="1039"/>
      <c r="F112" s="1039"/>
      <c r="G112" s="1039"/>
      <c r="H112" s="1040"/>
      <c r="I112" s="238" t="s">
        <v>0</v>
      </c>
      <c r="J112" s="242">
        <f>'EQUIP-MAT '!F22</f>
        <v>68.366666666666674</v>
      </c>
      <c r="K112" s="369"/>
      <c r="L112" s="359"/>
      <c r="M112" s="359"/>
      <c r="N112" s="359"/>
      <c r="O112" s="359"/>
      <c r="P112" s="359"/>
      <c r="Q112" s="359"/>
      <c r="R112" s="359"/>
      <c r="S112" s="359"/>
    </row>
    <row r="113" spans="1:19" s="17" customFormat="1" ht="15">
      <c r="A113" s="237" t="s">
        <v>8</v>
      </c>
      <c r="B113" s="1038" t="s">
        <v>191</v>
      </c>
      <c r="C113" s="1039"/>
      <c r="D113" s="1039"/>
      <c r="E113" s="1039"/>
      <c r="F113" s="1039"/>
      <c r="G113" s="1039"/>
      <c r="H113" s="1040"/>
      <c r="I113" s="238" t="s">
        <v>0</v>
      </c>
      <c r="J113" s="242">
        <f>'EQUIP-MAT '!F32+'EQUIP-MAT '!F38</f>
        <v>42.233333333333334</v>
      </c>
      <c r="K113" s="369"/>
      <c r="L113" s="359"/>
      <c r="M113" s="359"/>
      <c r="N113" s="359"/>
      <c r="O113" s="359"/>
      <c r="P113" s="359"/>
      <c r="Q113" s="359"/>
      <c r="R113" s="359"/>
      <c r="S113" s="359"/>
    </row>
    <row r="114" spans="1:19" s="17" customFormat="1" ht="15">
      <c r="A114" s="250" t="s">
        <v>9</v>
      </c>
      <c r="B114" s="1044" t="s">
        <v>192</v>
      </c>
      <c r="C114" s="1044"/>
      <c r="D114" s="1044"/>
      <c r="E114" s="1044"/>
      <c r="F114" s="1044"/>
      <c r="G114" s="1044"/>
      <c r="H114" s="1044"/>
      <c r="I114" s="238" t="s">
        <v>0</v>
      </c>
      <c r="J114" s="242">
        <v>0</v>
      </c>
      <c r="K114" s="369"/>
      <c r="L114" s="359"/>
      <c r="M114" s="359"/>
      <c r="N114" s="359"/>
      <c r="O114" s="359"/>
      <c r="P114" s="359"/>
      <c r="Q114" s="359"/>
      <c r="R114" s="359"/>
      <c r="S114" s="359"/>
    </row>
    <row r="115" spans="1:19" s="17" customFormat="1" ht="15">
      <c r="A115" s="1031" t="s">
        <v>70</v>
      </c>
      <c r="B115" s="1031"/>
      <c r="C115" s="1031"/>
      <c r="D115" s="1031"/>
      <c r="E115" s="1031"/>
      <c r="F115" s="1031"/>
      <c r="G115" s="1031"/>
      <c r="H115" s="1031"/>
      <c r="I115" s="251" t="s">
        <v>0</v>
      </c>
      <c r="J115" s="252">
        <f>TRUNC(SUM(J112:J114),2)</f>
        <v>110.6</v>
      </c>
      <c r="K115" s="369"/>
      <c r="L115" s="359"/>
      <c r="M115" s="359"/>
      <c r="N115" s="359"/>
      <c r="O115" s="359"/>
      <c r="P115" s="359"/>
      <c r="Q115" s="359"/>
      <c r="R115" s="359"/>
      <c r="S115" s="359"/>
    </row>
    <row r="116" spans="1:19" s="17" customFormat="1" ht="24" customHeight="1">
      <c r="A116" s="1065" t="s">
        <v>71</v>
      </c>
      <c r="B116" s="1065"/>
      <c r="C116" s="1065"/>
      <c r="D116" s="1065"/>
      <c r="E116" s="1065"/>
      <c r="F116" s="1065"/>
      <c r="G116" s="1065"/>
      <c r="H116" s="1065"/>
      <c r="I116" s="1065"/>
      <c r="J116" s="1065"/>
      <c r="K116" s="369"/>
      <c r="L116" s="359"/>
      <c r="M116" s="359"/>
      <c r="N116" s="359"/>
      <c r="O116" s="359"/>
      <c r="P116" s="359"/>
      <c r="Q116" s="359"/>
      <c r="R116" s="359"/>
      <c r="S116" s="359"/>
    </row>
    <row r="117" spans="1:19" s="17" customFormat="1" ht="15">
      <c r="A117" s="237">
        <v>6</v>
      </c>
      <c r="B117" s="1085" t="s">
        <v>18</v>
      </c>
      <c r="C117" s="1085"/>
      <c r="D117" s="1085"/>
      <c r="E117" s="1085"/>
      <c r="F117" s="1085"/>
      <c r="G117" s="1085"/>
      <c r="H117" s="1085"/>
      <c r="I117" s="237" t="s">
        <v>3</v>
      </c>
      <c r="J117" s="237" t="s">
        <v>1</v>
      </c>
      <c r="K117" s="369"/>
      <c r="L117" s="359"/>
      <c r="M117" s="359"/>
      <c r="N117" s="359"/>
      <c r="O117" s="359"/>
      <c r="P117" s="359"/>
      <c r="Q117" s="359"/>
      <c r="R117" s="359"/>
      <c r="S117" s="359"/>
    </row>
    <row r="118" spans="1:19" s="17" customFormat="1" ht="15">
      <c r="A118" s="237" t="s">
        <v>7</v>
      </c>
      <c r="B118" s="1044" t="s">
        <v>21</v>
      </c>
      <c r="C118" s="1044"/>
      <c r="D118" s="1044"/>
      <c r="E118" s="1044"/>
      <c r="F118" s="1044"/>
      <c r="G118" s="1044"/>
      <c r="H118" s="1044"/>
      <c r="I118" s="352">
        <v>0.01</v>
      </c>
      <c r="J118" s="242">
        <f>TRUNC(I118*J143,2)</f>
        <v>38.58</v>
      </c>
      <c r="K118" s="369"/>
      <c r="L118" s="359"/>
      <c r="M118" s="359"/>
      <c r="N118" s="359"/>
      <c r="O118" s="359"/>
      <c r="P118" s="359"/>
      <c r="Q118" s="364"/>
      <c r="R118" s="378"/>
      <c r="S118" s="359"/>
    </row>
    <row r="119" spans="1:19" s="17" customFormat="1" thickBot="1">
      <c r="A119" s="243" t="s">
        <v>8</v>
      </c>
      <c r="B119" s="1044" t="s">
        <v>4</v>
      </c>
      <c r="C119" s="1044"/>
      <c r="D119" s="1044"/>
      <c r="E119" s="1044"/>
      <c r="F119" s="1044"/>
      <c r="G119" s="1044"/>
      <c r="H119" s="1044"/>
      <c r="I119" s="352">
        <v>6.6259999999999999E-3</v>
      </c>
      <c r="J119" s="242">
        <f>TRUNC(I119*(J118+J143),2)</f>
        <v>25.82</v>
      </c>
      <c r="K119" s="359"/>
      <c r="L119" s="359"/>
      <c r="M119" s="359"/>
      <c r="N119" s="359"/>
      <c r="O119" s="359"/>
      <c r="P119" s="359"/>
      <c r="Q119" s="364"/>
      <c r="R119" s="359"/>
      <c r="S119" s="359"/>
    </row>
    <row r="120" spans="1:19" s="17" customFormat="1" thickBot="1">
      <c r="A120" s="244" t="s">
        <v>9</v>
      </c>
      <c r="B120" s="1253" t="s">
        <v>28</v>
      </c>
      <c r="C120" s="1253"/>
      <c r="D120" s="1253"/>
      <c r="E120" s="1253"/>
      <c r="F120" s="1253"/>
      <c r="G120" s="1253"/>
      <c r="H120" s="1253"/>
      <c r="I120" s="345"/>
      <c r="J120" s="346"/>
      <c r="K120" s="367"/>
      <c r="L120" s="358">
        <f>Q149</f>
        <v>-83.549534756431967</v>
      </c>
      <c r="M120" s="359"/>
      <c r="N120" s="359"/>
      <c r="O120" s="359"/>
      <c r="P120" s="359"/>
      <c r="Q120" s="359"/>
      <c r="R120" s="359"/>
      <c r="S120" s="359"/>
    </row>
    <row r="121" spans="1:19" s="17" customFormat="1" ht="15">
      <c r="A121" s="243" t="s">
        <v>29</v>
      </c>
      <c r="B121" s="1044" t="s">
        <v>82</v>
      </c>
      <c r="C121" s="1044"/>
      <c r="D121" s="1044"/>
      <c r="E121" s="1044"/>
      <c r="F121" s="1044"/>
      <c r="G121" s="1044"/>
      <c r="H121" s="1044"/>
      <c r="I121" s="245">
        <v>6.4999999999999997E-3</v>
      </c>
      <c r="J121" s="246">
        <f>TRUNC(I121*J132,2)</f>
        <v>27.91</v>
      </c>
      <c r="K121" s="359"/>
      <c r="L121" s="359"/>
      <c r="M121" s="359"/>
      <c r="N121" s="359"/>
      <c r="O121" s="359"/>
      <c r="P121" s="359"/>
      <c r="Q121" s="359"/>
      <c r="R121" s="359"/>
      <c r="S121" s="359"/>
    </row>
    <row r="122" spans="1:19" s="17" customFormat="1" ht="15">
      <c r="A122" s="243" t="s">
        <v>29</v>
      </c>
      <c r="B122" s="1044" t="s">
        <v>77</v>
      </c>
      <c r="C122" s="1044"/>
      <c r="D122" s="1044"/>
      <c r="E122" s="1044"/>
      <c r="F122" s="1044"/>
      <c r="G122" s="1044"/>
      <c r="H122" s="1044"/>
      <c r="I122" s="245">
        <v>0.03</v>
      </c>
      <c r="J122" s="246">
        <f>TRUNC(I122*J132,2)</f>
        <v>128.82</v>
      </c>
      <c r="K122" s="367">
        <f>J150</f>
        <v>103062.59441707718</v>
      </c>
      <c r="L122" s="364" t="e">
        <f>[1]RESUMO!#REF!</f>
        <v>#REF!</v>
      </c>
      <c r="M122" s="359"/>
      <c r="N122" s="359"/>
      <c r="O122" s="359"/>
      <c r="P122" s="359"/>
      <c r="Q122" s="359"/>
      <c r="R122" s="359"/>
      <c r="S122" s="359"/>
    </row>
    <row r="123" spans="1:19" s="17" customFormat="1" ht="15">
      <c r="A123" s="243" t="s">
        <v>30</v>
      </c>
      <c r="B123" s="1044" t="s">
        <v>80</v>
      </c>
      <c r="C123" s="1044"/>
      <c r="D123" s="1044"/>
      <c r="E123" s="1044"/>
      <c r="F123" s="1044"/>
      <c r="G123" s="1044"/>
      <c r="H123" s="1044"/>
      <c r="I123" s="247" t="s">
        <v>79</v>
      </c>
      <c r="J123" s="246">
        <v>0</v>
      </c>
      <c r="K123" s="359"/>
      <c r="L123" s="359"/>
      <c r="M123" s="359"/>
      <c r="N123" s="359"/>
      <c r="O123" s="359"/>
      <c r="P123" s="359"/>
      <c r="Q123" s="359"/>
      <c r="R123" s="359"/>
      <c r="S123" s="359"/>
    </row>
    <row r="124" spans="1:19" s="17" customFormat="1" ht="15">
      <c r="A124" s="243" t="s">
        <v>31</v>
      </c>
      <c r="B124" s="1044" t="s">
        <v>78</v>
      </c>
      <c r="C124" s="1044"/>
      <c r="D124" s="1044"/>
      <c r="E124" s="1044"/>
      <c r="F124" s="1044"/>
      <c r="G124" s="1044"/>
      <c r="H124" s="1044"/>
      <c r="I124" s="245">
        <v>0.05</v>
      </c>
      <c r="J124" s="246">
        <f>TRUNC(I124*J132,2)</f>
        <v>214.71</v>
      </c>
      <c r="K124" s="359"/>
      <c r="L124" s="359"/>
      <c r="M124" s="359"/>
      <c r="N124" s="359"/>
      <c r="O124" s="359"/>
      <c r="P124" s="359"/>
      <c r="Q124" s="359"/>
      <c r="R124" s="359"/>
      <c r="S124" s="359"/>
    </row>
    <row r="125" spans="1:19" s="17" customFormat="1" ht="15">
      <c r="A125" s="1031" t="s">
        <v>72</v>
      </c>
      <c r="B125" s="1031"/>
      <c r="C125" s="1031"/>
      <c r="D125" s="1031"/>
      <c r="E125" s="1031"/>
      <c r="F125" s="1031"/>
      <c r="G125" s="1031"/>
      <c r="H125" s="1031"/>
      <c r="I125" s="248">
        <f>SUM(I118:I124)</f>
        <v>0.103126</v>
      </c>
      <c r="J125" s="249">
        <f>TRUNC(SUM(J118:J124),2)</f>
        <v>435.84</v>
      </c>
      <c r="K125" s="359"/>
      <c r="L125" s="359"/>
      <c r="M125" s="359"/>
      <c r="N125" s="359"/>
      <c r="O125" s="359"/>
      <c r="P125" s="359"/>
      <c r="Q125" s="359"/>
      <c r="R125" s="379"/>
      <c r="S125" s="359"/>
    </row>
    <row r="126" spans="1:19" s="17" customFormat="1" ht="15">
      <c r="A126" s="291"/>
      <c r="B126" s="230"/>
      <c r="C126" s="1081"/>
      <c r="D126" s="1081"/>
      <c r="E126" s="1081"/>
      <c r="F126" s="1081"/>
      <c r="G126" s="1081"/>
      <c r="H126" s="1081"/>
      <c r="I126" s="1081"/>
      <c r="J126" s="1082"/>
      <c r="K126" s="359"/>
      <c r="L126" s="359"/>
      <c r="M126" s="359"/>
      <c r="N126" s="359"/>
      <c r="O126" s="359"/>
      <c r="P126" s="359"/>
      <c r="Q126" s="359"/>
      <c r="R126" s="359"/>
      <c r="S126" s="359"/>
    </row>
    <row r="127" spans="1:19" s="17" customFormat="1" ht="15">
      <c r="A127" s="300" t="s">
        <v>32</v>
      </c>
      <c r="B127" s="301"/>
      <c r="C127" s="1246" t="s">
        <v>33</v>
      </c>
      <c r="D127" s="1246"/>
      <c r="E127" s="1246"/>
      <c r="F127" s="1246"/>
      <c r="G127" s="1246"/>
      <c r="H127" s="1247"/>
      <c r="I127" s="1248">
        <f>TRUNC(I121+I122+I124,4)</f>
        <v>8.6499999999999994E-2</v>
      </c>
      <c r="J127" s="1249"/>
      <c r="K127" s="359"/>
      <c r="L127" s="359"/>
      <c r="M127" s="359"/>
      <c r="N127" s="359"/>
      <c r="O127" s="359"/>
      <c r="P127" s="359"/>
      <c r="Q127" s="359"/>
      <c r="R127" s="359"/>
      <c r="S127" s="359"/>
    </row>
    <row r="128" spans="1:19" s="17" customFormat="1" ht="15">
      <c r="A128" s="233"/>
      <c r="B128" s="302"/>
      <c r="C128" s="1252">
        <v>100</v>
      </c>
      <c r="D128" s="1244"/>
      <c r="E128" s="1244"/>
      <c r="F128" s="1244"/>
      <c r="G128" s="1244"/>
      <c r="H128" s="1245"/>
      <c r="I128" s="1250"/>
      <c r="J128" s="1251"/>
      <c r="K128" s="359"/>
      <c r="L128" s="362"/>
      <c r="M128" s="359"/>
      <c r="N128" s="359"/>
      <c r="O128" s="359"/>
      <c r="P128" s="359"/>
      <c r="Q128" s="359"/>
      <c r="R128" s="359"/>
      <c r="S128" s="359"/>
    </row>
    <row r="129" spans="1:19" s="17" customFormat="1" ht="15">
      <c r="A129" s="311"/>
      <c r="B129" s="310"/>
      <c r="C129" s="308"/>
      <c r="D129" s="308"/>
      <c r="E129" s="308"/>
      <c r="F129" s="308"/>
      <c r="G129" s="308"/>
      <c r="H129" s="309"/>
      <c r="I129" s="303"/>
      <c r="J129" s="304"/>
      <c r="K129" s="359"/>
      <c r="L129" s="359"/>
      <c r="M129" s="359"/>
      <c r="N129" s="359"/>
      <c r="O129" s="359"/>
      <c r="P129" s="359"/>
      <c r="Q129" s="359"/>
      <c r="R129" s="359"/>
      <c r="S129" s="359"/>
    </row>
    <row r="130" spans="1:19" s="17" customFormat="1">
      <c r="A130" s="233" t="s">
        <v>34</v>
      </c>
      <c r="B130" s="302"/>
      <c r="C130" s="1244" t="s">
        <v>73</v>
      </c>
      <c r="D130" s="1244"/>
      <c r="E130" s="1244"/>
      <c r="F130" s="1244"/>
      <c r="G130" s="1244"/>
      <c r="H130" s="1245"/>
      <c r="I130" s="305"/>
      <c r="J130" s="306">
        <f>TRUNC(J143+J118+J119,2)</f>
        <v>3922.82</v>
      </c>
      <c r="K130" s="359"/>
      <c r="L130" s="380"/>
      <c r="M130" s="359"/>
      <c r="N130" s="359"/>
      <c r="O130" s="359"/>
      <c r="P130" s="359"/>
      <c r="Q130" s="359"/>
      <c r="R130" s="359"/>
      <c r="S130" s="359"/>
    </row>
    <row r="131" spans="1:19" s="17" customFormat="1" ht="15">
      <c r="A131" s="300"/>
      <c r="B131" s="301"/>
      <c r="C131" s="308"/>
      <c r="D131" s="308"/>
      <c r="E131" s="308"/>
      <c r="F131" s="308"/>
      <c r="G131" s="308"/>
      <c r="H131" s="309"/>
      <c r="I131" s="303"/>
      <c r="J131" s="307"/>
      <c r="K131" s="359"/>
      <c r="L131" s="359"/>
      <c r="M131" s="359"/>
      <c r="N131" s="359"/>
      <c r="O131" s="359"/>
      <c r="P131" s="359"/>
      <c r="Q131" s="359"/>
      <c r="R131" s="359"/>
      <c r="S131" s="359"/>
    </row>
    <row r="132" spans="1:19" s="17" customFormat="1" ht="15">
      <c r="A132" s="233" t="s">
        <v>35</v>
      </c>
      <c r="B132" s="302"/>
      <c r="C132" s="1244" t="s">
        <v>36</v>
      </c>
      <c r="D132" s="1244"/>
      <c r="E132" s="1244"/>
      <c r="F132" s="1244"/>
      <c r="G132" s="1244"/>
      <c r="H132" s="1245"/>
      <c r="I132" s="305"/>
      <c r="J132" s="306">
        <f>J130/(1-I127)</f>
        <v>4294.274767378216</v>
      </c>
      <c r="K132" s="359"/>
      <c r="L132" s="359"/>
      <c r="M132" s="359"/>
      <c r="N132" s="359"/>
      <c r="O132" s="359"/>
      <c r="P132" s="359"/>
      <c r="Q132" s="359"/>
      <c r="R132" s="359"/>
      <c r="S132" s="359"/>
    </row>
    <row r="133" spans="1:19" s="17" customFormat="1" ht="15">
      <c r="A133" s="235"/>
      <c r="B133" s="301"/>
      <c r="C133" s="308"/>
      <c r="D133" s="308"/>
      <c r="E133" s="308"/>
      <c r="F133" s="308"/>
      <c r="G133" s="308"/>
      <c r="H133" s="309"/>
      <c r="I133" s="303"/>
      <c r="J133" s="307"/>
      <c r="K133" s="359"/>
      <c r="L133" s="359"/>
      <c r="M133" s="359"/>
      <c r="N133" s="359"/>
      <c r="O133" s="359"/>
      <c r="P133" s="359"/>
      <c r="Q133" s="359"/>
      <c r="R133" s="359"/>
      <c r="S133" s="359"/>
    </row>
    <row r="134" spans="1:19" s="17" customFormat="1">
      <c r="A134" s="291"/>
      <c r="B134" s="302"/>
      <c r="C134" s="1244" t="s">
        <v>37</v>
      </c>
      <c r="D134" s="1244"/>
      <c r="E134" s="1244"/>
      <c r="F134" s="1244"/>
      <c r="G134" s="1244"/>
      <c r="H134" s="1245"/>
      <c r="I134" s="305"/>
      <c r="J134" s="306">
        <f>TRUNC(J132-J130,2)</f>
        <v>371.45</v>
      </c>
      <c r="K134" s="359"/>
      <c r="L134" s="380"/>
      <c r="M134" s="359"/>
      <c r="N134" s="359"/>
      <c r="O134" s="359"/>
      <c r="P134" s="359"/>
      <c r="Q134" s="359"/>
      <c r="R134" s="359"/>
      <c r="S134" s="359"/>
    </row>
    <row r="135" spans="1:19" s="17" customFormat="1">
      <c r="A135" s="291"/>
      <c r="B135" s="230"/>
      <c r="C135" s="230"/>
      <c r="D135" s="230"/>
      <c r="E135" s="230"/>
      <c r="F135" s="230"/>
      <c r="G135" s="230"/>
      <c r="H135" s="230"/>
      <c r="I135" s="230"/>
      <c r="J135" s="295"/>
      <c r="K135" s="359"/>
      <c r="L135" s="380"/>
      <c r="M135" s="359"/>
      <c r="N135" s="359"/>
      <c r="O135" s="359"/>
      <c r="P135" s="359"/>
      <c r="Q135" s="359"/>
      <c r="R135" s="359"/>
      <c r="S135" s="359"/>
    </row>
    <row r="136" spans="1:19" s="17" customFormat="1" ht="15">
      <c r="A136" s="1065" t="s">
        <v>83</v>
      </c>
      <c r="B136" s="1065"/>
      <c r="C136" s="1065"/>
      <c r="D136" s="1065"/>
      <c r="E136" s="1065"/>
      <c r="F136" s="1065"/>
      <c r="G136" s="1065"/>
      <c r="H136" s="1065"/>
      <c r="I136" s="1065"/>
      <c r="J136" s="1065"/>
      <c r="K136" s="359"/>
      <c r="L136" s="359"/>
      <c r="M136" s="359"/>
      <c r="N136" s="359"/>
      <c r="O136" s="359"/>
      <c r="P136" s="359"/>
      <c r="Q136" s="359"/>
      <c r="R136" s="359"/>
      <c r="S136" s="359"/>
    </row>
    <row r="137" spans="1:19" s="17" customFormat="1" ht="15">
      <c r="A137" s="1031" t="s">
        <v>22</v>
      </c>
      <c r="B137" s="1031"/>
      <c r="C137" s="1031"/>
      <c r="D137" s="1031"/>
      <c r="E137" s="1031"/>
      <c r="F137" s="1031"/>
      <c r="G137" s="1031"/>
      <c r="H137" s="1031"/>
      <c r="I137" s="1031"/>
      <c r="J137" s="237" t="s">
        <v>1</v>
      </c>
      <c r="K137" s="359"/>
      <c r="L137" s="362"/>
      <c r="M137" s="359"/>
      <c r="N137" s="359"/>
      <c r="O137" s="359"/>
      <c r="P137" s="359"/>
      <c r="Q137" s="359"/>
      <c r="R137" s="359"/>
      <c r="S137" s="359"/>
    </row>
    <row r="138" spans="1:19" s="17" customFormat="1" ht="15">
      <c r="A138" s="238" t="s">
        <v>7</v>
      </c>
      <c r="B138" s="1044" t="str">
        <f>A32</f>
        <v>MÓDULO 1 - COMPOSIÇÃO DA REMUNERAÇÃO</v>
      </c>
      <c r="C138" s="1044"/>
      <c r="D138" s="1044"/>
      <c r="E138" s="1044"/>
      <c r="F138" s="1044"/>
      <c r="G138" s="1044"/>
      <c r="H138" s="1044"/>
      <c r="I138" s="1044"/>
      <c r="J138" s="239">
        <f>J43</f>
        <v>1821.3909999999998</v>
      </c>
      <c r="K138" s="359"/>
      <c r="L138" s="359"/>
      <c r="M138" s="359"/>
      <c r="N138" s="359"/>
      <c r="O138" s="359"/>
      <c r="P138" s="359"/>
      <c r="Q138" s="359"/>
      <c r="R138" s="359"/>
      <c r="S138" s="359"/>
    </row>
    <row r="139" spans="1:19" s="17" customFormat="1" ht="15">
      <c r="A139" s="240" t="s">
        <v>8</v>
      </c>
      <c r="B139" s="1044" t="str">
        <f>A46</f>
        <v>MÓDULO 2 – ENCARGOS E BENEFÍCIOS ANUAIS, MENSAIS E DIÁRIOS</v>
      </c>
      <c r="C139" s="1044"/>
      <c r="D139" s="1044"/>
      <c r="E139" s="1044"/>
      <c r="F139" s="1044"/>
      <c r="G139" s="1044"/>
      <c r="H139" s="1044"/>
      <c r="I139" s="1044"/>
      <c r="J139" s="241">
        <f>J79</f>
        <v>1566.11</v>
      </c>
      <c r="K139" s="359"/>
      <c r="L139" s="359"/>
      <c r="M139" s="359"/>
      <c r="N139" s="359"/>
      <c r="O139" s="359"/>
      <c r="P139" s="359"/>
      <c r="Q139" s="359"/>
      <c r="R139" s="359"/>
      <c r="S139" s="359"/>
    </row>
    <row r="140" spans="1:19" s="17" customFormat="1" ht="15">
      <c r="A140" s="240" t="s">
        <v>9</v>
      </c>
      <c r="B140" s="1044" t="str">
        <f>A80</f>
        <v>MÓDULO 3 – PROVISÃO PARA RESCISÃO</v>
      </c>
      <c r="C140" s="1044"/>
      <c r="D140" s="1044"/>
      <c r="E140" s="1044"/>
      <c r="F140" s="1044"/>
      <c r="G140" s="1044"/>
      <c r="H140" s="1044"/>
      <c r="I140" s="1044"/>
      <c r="J140" s="241">
        <f>J88</f>
        <v>129.6</v>
      </c>
      <c r="K140" s="359"/>
      <c r="L140" s="359"/>
      <c r="M140" s="359"/>
      <c r="N140" s="359"/>
      <c r="O140" s="359"/>
      <c r="P140" s="359"/>
      <c r="Q140" s="359"/>
      <c r="R140" s="359"/>
      <c r="S140" s="359"/>
    </row>
    <row r="141" spans="1:19" s="17" customFormat="1" ht="15">
      <c r="A141" s="238" t="s">
        <v>10</v>
      </c>
      <c r="B141" s="1044" t="str">
        <f>A90</f>
        <v>MÓDULO 4 – CUSTO DE REPOSIÇÃO DO PROFISSIONAL AUSENTE</v>
      </c>
      <c r="C141" s="1044"/>
      <c r="D141" s="1044"/>
      <c r="E141" s="1044"/>
      <c r="F141" s="1044"/>
      <c r="G141" s="1044"/>
      <c r="H141" s="1044"/>
      <c r="I141" s="1044"/>
      <c r="J141" s="241">
        <f>J107</f>
        <v>230.72</v>
      </c>
      <c r="K141" s="359"/>
      <c r="L141" s="359"/>
      <c r="M141" s="359"/>
      <c r="N141" s="359"/>
      <c r="O141" s="359"/>
      <c r="P141" s="359"/>
      <c r="Q141" s="359"/>
      <c r="R141" s="359"/>
      <c r="S141" s="359"/>
    </row>
    <row r="142" spans="1:19" s="17" customFormat="1" ht="15">
      <c r="A142" s="240" t="s">
        <v>11</v>
      </c>
      <c r="B142" s="1044" t="str">
        <f>A110</f>
        <v>MÓDULO 5 – INSUMOS DIVERSOS</v>
      </c>
      <c r="C142" s="1044"/>
      <c r="D142" s="1044"/>
      <c r="E142" s="1044"/>
      <c r="F142" s="1044"/>
      <c r="G142" s="1044"/>
      <c r="H142" s="1044"/>
      <c r="I142" s="1044"/>
      <c r="J142" s="241">
        <f>J115</f>
        <v>110.6</v>
      </c>
      <c r="K142" s="359"/>
      <c r="L142" s="359"/>
      <c r="M142" s="359"/>
      <c r="N142" s="359"/>
      <c r="O142" s="359"/>
      <c r="P142" s="359"/>
      <c r="Q142" s="359"/>
      <c r="R142" s="359"/>
      <c r="S142" s="359"/>
    </row>
    <row r="143" spans="1:19" s="17" customFormat="1" ht="15">
      <c r="A143" s="1065" t="s">
        <v>74</v>
      </c>
      <c r="B143" s="1065"/>
      <c r="C143" s="1065"/>
      <c r="D143" s="1065"/>
      <c r="E143" s="1065"/>
      <c r="F143" s="1065"/>
      <c r="G143" s="1065"/>
      <c r="H143" s="1065"/>
      <c r="I143" s="1065"/>
      <c r="J143" s="348">
        <f>TRUNC(SUM(J138:J142),2)</f>
        <v>3858.42</v>
      </c>
      <c r="K143" s="359"/>
      <c r="L143" s="359"/>
      <c r="M143" s="359"/>
      <c r="N143" s="359"/>
      <c r="O143" s="359"/>
      <c r="P143" s="359"/>
      <c r="Q143" s="359"/>
      <c r="R143" s="359"/>
      <c r="S143" s="359"/>
    </row>
    <row r="144" spans="1:19" s="17" customFormat="1" ht="15">
      <c r="A144" s="238" t="s">
        <v>13</v>
      </c>
      <c r="B144" s="1044" t="str">
        <f>A116</f>
        <v>MÓDULO 6 – CUSTOS INDIRETOS, TRIBUTOS E LUCRO</v>
      </c>
      <c r="C144" s="1044"/>
      <c r="D144" s="1044"/>
      <c r="E144" s="1044"/>
      <c r="F144" s="1044"/>
      <c r="G144" s="1044"/>
      <c r="H144" s="1044"/>
      <c r="I144" s="1044"/>
      <c r="J144" s="239">
        <f>J125</f>
        <v>435.84</v>
      </c>
      <c r="K144" s="359"/>
      <c r="L144" s="359"/>
      <c r="M144" s="359"/>
      <c r="N144" s="359"/>
      <c r="O144" s="359"/>
      <c r="P144" s="359"/>
      <c r="Q144" s="359"/>
      <c r="R144" s="359"/>
      <c r="S144" s="359"/>
    </row>
    <row r="145" spans="1:19" s="17" customFormat="1">
      <c r="A145" s="1064" t="s">
        <v>75</v>
      </c>
      <c r="B145" s="1064"/>
      <c r="C145" s="1064"/>
      <c r="D145" s="1064"/>
      <c r="E145" s="1064"/>
      <c r="F145" s="1064"/>
      <c r="G145" s="1064"/>
      <c r="H145" s="1064"/>
      <c r="I145" s="1064"/>
      <c r="J145" s="347">
        <f>(J143+J119+J118)/0.9135</f>
        <v>4294.274767378216</v>
      </c>
      <c r="K145" s="364"/>
      <c r="L145" s="380">
        <v>4822.8100000000004</v>
      </c>
      <c r="M145" s="359"/>
      <c r="N145" s="359"/>
      <c r="O145" s="359"/>
      <c r="P145" s="359"/>
      <c r="Q145" s="359"/>
      <c r="R145" s="359"/>
      <c r="S145" s="359"/>
    </row>
    <row r="146" spans="1:19" s="17" customFormat="1" ht="16.5" thickBot="1">
      <c r="A146" s="1064" t="s">
        <v>100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v>2</v>
      </c>
      <c r="K146" s="359"/>
      <c r="L146" s="381">
        <v>7</v>
      </c>
      <c r="M146" s="359"/>
      <c r="N146" s="359"/>
      <c r="O146" s="359"/>
      <c r="P146" s="359"/>
      <c r="Q146" s="382" t="s">
        <v>244</v>
      </c>
      <c r="R146" s="359"/>
      <c r="S146" s="359"/>
    </row>
    <row r="147" spans="1:19" s="17" customFormat="1">
      <c r="A147" s="1064" t="s">
        <v>143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f>J145*J146</f>
        <v>8588.549534756432</v>
      </c>
      <c r="K147" s="359"/>
      <c r="L147" s="380">
        <f>L145*L146</f>
        <v>33759.670000000006</v>
      </c>
      <c r="M147" s="359"/>
      <c r="N147" s="359"/>
      <c r="O147" s="359"/>
      <c r="P147" s="359"/>
      <c r="Q147" s="383">
        <v>8505</v>
      </c>
      <c r="R147" s="359"/>
      <c r="S147" s="359"/>
    </row>
    <row r="148" spans="1:19" s="17" customFormat="1">
      <c r="A148" s="1064" t="s">
        <v>122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v>1</v>
      </c>
      <c r="K148" s="359"/>
      <c r="L148" s="380"/>
      <c r="M148" s="359"/>
      <c r="N148" s="359"/>
      <c r="O148" s="359"/>
      <c r="P148" s="359"/>
      <c r="Q148" s="383">
        <f>J147</f>
        <v>8588.549534756432</v>
      </c>
      <c r="R148" s="359"/>
      <c r="S148" s="359"/>
    </row>
    <row r="149" spans="1:19" s="17" customFormat="1">
      <c r="A149" s="1064" t="s">
        <v>144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f>J147*J148</f>
        <v>8588.549534756432</v>
      </c>
      <c r="K149" s="359"/>
      <c r="L149" s="380"/>
      <c r="M149" s="359"/>
      <c r="N149" s="359"/>
      <c r="O149" s="359"/>
      <c r="P149" s="359"/>
      <c r="Q149" s="383">
        <f>Q147-Q148</f>
        <v>-83.549534756431967</v>
      </c>
      <c r="R149" s="359"/>
      <c r="S149" s="359"/>
    </row>
    <row r="150" spans="1:19" s="17" customFormat="1">
      <c r="A150" s="1064" t="s">
        <v>145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J149*12</f>
        <v>103062.59441707718</v>
      </c>
      <c r="K150" s="359"/>
      <c r="L150" s="380">
        <f>L147*12</f>
        <v>405116.04000000004</v>
      </c>
      <c r="M150" s="359"/>
      <c r="N150" s="359"/>
      <c r="O150" s="359"/>
      <c r="P150" s="359"/>
      <c r="Q150" s="359"/>
      <c r="R150" s="359"/>
      <c r="S150" s="359"/>
    </row>
    <row r="151" spans="1:19" s="17" customFormat="1" ht="15">
      <c r="A151" s="291"/>
      <c r="B151" s="234"/>
      <c r="C151" s="234"/>
      <c r="D151" s="234"/>
      <c r="E151" s="234"/>
      <c r="F151" s="234"/>
      <c r="G151" s="234"/>
      <c r="H151" s="234"/>
      <c r="I151" s="234"/>
      <c r="J151" s="296"/>
      <c r="K151" s="359"/>
      <c r="L151" s="359"/>
      <c r="M151" s="359"/>
      <c r="N151" s="359"/>
      <c r="O151" s="359"/>
      <c r="P151" s="359"/>
      <c r="Q151" s="367"/>
      <c r="R151" s="359"/>
      <c r="S151" s="359"/>
    </row>
    <row r="152" spans="1:19" s="17" customFormat="1" ht="15" customHeight="1">
      <c r="A152" s="1052"/>
      <c r="B152" s="1053"/>
      <c r="C152" s="1053"/>
      <c r="D152" s="1053"/>
      <c r="E152" s="1053"/>
      <c r="F152" s="1053"/>
      <c r="G152" s="1053"/>
      <c r="H152" s="1053"/>
      <c r="I152" s="1053"/>
      <c r="J152" s="1054"/>
      <c r="K152" s="359"/>
      <c r="L152" s="359"/>
      <c r="M152" s="359"/>
      <c r="N152" s="359"/>
      <c r="O152" s="359"/>
      <c r="P152" s="359"/>
      <c r="Q152" s="359"/>
      <c r="R152" s="359"/>
      <c r="S152" s="359"/>
    </row>
    <row r="153" spans="1:19" s="17" customFormat="1" ht="15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  <c r="K153" s="359"/>
      <c r="L153" s="359"/>
      <c r="M153" s="359"/>
      <c r="N153" s="359"/>
      <c r="O153" s="359"/>
      <c r="P153" s="359"/>
      <c r="Q153" s="359"/>
      <c r="R153" s="359"/>
      <c r="S153" s="359"/>
    </row>
    <row r="154" spans="1:19" s="17" customFormat="1" ht="35.25" customHeight="1">
      <c r="A154" s="297"/>
      <c r="B154" s="298"/>
      <c r="C154" s="298"/>
      <c r="D154" s="298"/>
      <c r="E154" s="298"/>
      <c r="F154" s="298"/>
      <c r="G154" s="298"/>
      <c r="H154" s="298"/>
      <c r="I154" s="298"/>
      <c r="J154" s="299"/>
      <c r="K154" s="359"/>
      <c r="L154" s="359"/>
      <c r="M154" s="359"/>
      <c r="N154" s="359"/>
      <c r="O154" s="359"/>
      <c r="P154" s="359"/>
      <c r="Q154" s="359"/>
      <c r="R154" s="359"/>
      <c r="S154" s="359"/>
    </row>
  </sheetData>
  <mergeCells count="152">
    <mergeCell ref="B112:H112"/>
    <mergeCell ref="B113:H113"/>
    <mergeCell ref="B111:H111"/>
    <mergeCell ref="B105:I105"/>
    <mergeCell ref="B16:F16"/>
    <mergeCell ref="B17:F17"/>
    <mergeCell ref="A147:I147"/>
    <mergeCell ref="A148:I148"/>
    <mergeCell ref="A149:I149"/>
    <mergeCell ref="C134:H134"/>
    <mergeCell ref="A136:J136"/>
    <mergeCell ref="A137:I137"/>
    <mergeCell ref="B138:I138"/>
    <mergeCell ref="B139:I139"/>
    <mergeCell ref="B140:I140"/>
    <mergeCell ref="C126:J126"/>
    <mergeCell ref="C127:H127"/>
    <mergeCell ref="I127:J128"/>
    <mergeCell ref="C128:H128"/>
    <mergeCell ref="C130:H130"/>
    <mergeCell ref="C132:H132"/>
    <mergeCell ref="B120:H120"/>
    <mergeCell ref="B121:H121"/>
    <mergeCell ref="B122:H122"/>
    <mergeCell ref="A150:I150"/>
    <mergeCell ref="A152:J152"/>
    <mergeCell ref="A153:J153"/>
    <mergeCell ref="B141:I141"/>
    <mergeCell ref="B142:I142"/>
    <mergeCell ref="A143:I143"/>
    <mergeCell ref="B144:I144"/>
    <mergeCell ref="A145:I145"/>
    <mergeCell ref="A146:I146"/>
    <mergeCell ref="B123:H123"/>
    <mergeCell ref="B124:H124"/>
    <mergeCell ref="A125:H125"/>
    <mergeCell ref="B114:H114"/>
    <mergeCell ref="A115:H115"/>
    <mergeCell ref="A116:J116"/>
    <mergeCell ref="B117:H117"/>
    <mergeCell ref="B118:H118"/>
    <mergeCell ref="B119:H119"/>
    <mergeCell ref="B106:I106"/>
    <mergeCell ref="A107:I107"/>
    <mergeCell ref="A108:H108"/>
    <mergeCell ref="A109:J109"/>
    <mergeCell ref="A110:J110"/>
    <mergeCell ref="B99:H99"/>
    <mergeCell ref="A100:H100"/>
    <mergeCell ref="A101:I101"/>
    <mergeCell ref="A102:J102"/>
    <mergeCell ref="A103:J103"/>
    <mergeCell ref="A104:I104"/>
    <mergeCell ref="B93:H93"/>
    <mergeCell ref="B94:H94"/>
    <mergeCell ref="B95:H95"/>
    <mergeCell ref="B96:H96"/>
    <mergeCell ref="B97:H97"/>
    <mergeCell ref="B98:H98"/>
    <mergeCell ref="B87:H87"/>
    <mergeCell ref="A88:H88"/>
    <mergeCell ref="B89:J89"/>
    <mergeCell ref="A90:J90"/>
    <mergeCell ref="A91:H91"/>
    <mergeCell ref="B92:H92"/>
    <mergeCell ref="B81:H81"/>
    <mergeCell ref="B82:H82"/>
    <mergeCell ref="B83:H83"/>
    <mergeCell ref="B84:H84"/>
    <mergeCell ref="B85:H85"/>
    <mergeCell ref="B86:H86"/>
    <mergeCell ref="A75:I75"/>
    <mergeCell ref="B76:I76"/>
    <mergeCell ref="B77:I77"/>
    <mergeCell ref="B78:I78"/>
    <mergeCell ref="B79:I79"/>
    <mergeCell ref="A80:J80"/>
    <mergeCell ref="B69:H69"/>
    <mergeCell ref="B70:H70"/>
    <mergeCell ref="B71:H71"/>
    <mergeCell ref="A72:I72"/>
    <mergeCell ref="B73:J73"/>
    <mergeCell ref="A74:J74"/>
    <mergeCell ref="A65:A66"/>
    <mergeCell ref="B65:D66"/>
    <mergeCell ref="I65:I66"/>
    <mergeCell ref="J65:J66"/>
    <mergeCell ref="B67:H67"/>
    <mergeCell ref="B68:H68"/>
    <mergeCell ref="B60:H60"/>
    <mergeCell ref="B61:H61"/>
    <mergeCell ref="A62:H62"/>
    <mergeCell ref="B63:J63"/>
    <mergeCell ref="A64:H64"/>
    <mergeCell ref="I64:J64"/>
    <mergeCell ref="B54:H54"/>
    <mergeCell ref="B55:H55"/>
    <mergeCell ref="B56:H56"/>
    <mergeCell ref="B57:H57"/>
    <mergeCell ref="B58:H58"/>
    <mergeCell ref="B59:H59"/>
    <mergeCell ref="B48:H48"/>
    <mergeCell ref="B49:H49"/>
    <mergeCell ref="B50:H50"/>
    <mergeCell ref="A51:H51"/>
    <mergeCell ref="A52:J52"/>
    <mergeCell ref="A53:H53"/>
    <mergeCell ref="C40:H40"/>
    <mergeCell ref="B41:H41"/>
    <mergeCell ref="A42:I42"/>
    <mergeCell ref="A43:I43"/>
    <mergeCell ref="A46:J46"/>
    <mergeCell ref="A47:H47"/>
    <mergeCell ref="B34:H34"/>
    <mergeCell ref="B35:H35"/>
    <mergeCell ref="B36:H36"/>
    <mergeCell ref="B37:H37"/>
    <mergeCell ref="C38:H38"/>
    <mergeCell ref="C39:H39"/>
    <mergeCell ref="B28:I28"/>
    <mergeCell ref="B29:I29"/>
    <mergeCell ref="B30:I30"/>
    <mergeCell ref="B31:J31"/>
    <mergeCell ref="A32:J32"/>
    <mergeCell ref="B33:H33"/>
    <mergeCell ref="A21:F21"/>
    <mergeCell ref="H21:J21"/>
    <mergeCell ref="A23:J23"/>
    <mergeCell ref="A25:J25"/>
    <mergeCell ref="B27:I27"/>
    <mergeCell ref="B26:I26"/>
    <mergeCell ref="G15:J15"/>
    <mergeCell ref="G16:J16"/>
    <mergeCell ref="G17:J17"/>
    <mergeCell ref="A18:J18"/>
    <mergeCell ref="A20:F20"/>
    <mergeCell ref="H20:J20"/>
    <mergeCell ref="B15:F15"/>
    <mergeCell ref="G9:J9"/>
    <mergeCell ref="G10:J10"/>
    <mergeCell ref="G11:J11"/>
    <mergeCell ref="A12:J12"/>
    <mergeCell ref="A13:J13"/>
    <mergeCell ref="G14:J14"/>
    <mergeCell ref="B14:F14"/>
    <mergeCell ref="B9:F9"/>
    <mergeCell ref="A2:J2"/>
    <mergeCell ref="A4:J4"/>
    <mergeCell ref="A6:J6"/>
    <mergeCell ref="A7:J7"/>
    <mergeCell ref="G8:J8"/>
    <mergeCell ref="A5:H5"/>
  </mergeCells>
  <printOptions horizontalCentered="1" verticalCentered="1"/>
  <pageMargins left="0.51181102362204722" right="0.51181102362204722" top="1.0591666666666666" bottom="0.78740157480314965" header="0.31496062992125984" footer="0.31496062992125984"/>
  <pageSetup paperSize="9" scale="54" orientation="portrait" r:id="rId1"/>
  <headerFooter scaleWithDoc="0" alignWithMargins="0">
    <oddHeader>&amp;L&amp;G&amp;R&amp;G</oddHeader>
  </headerFooter>
  <rowBreaks count="1" manualBreakCount="1">
    <brk id="88" max="9" man="1"/>
  </row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O29"/>
  <sheetViews>
    <sheetView topLeftCell="K1" zoomScale="150" zoomScaleNormal="150" workbookViewId="0">
      <selection activeCell="M6" sqref="M6:N8"/>
    </sheetView>
  </sheetViews>
  <sheetFormatPr defaultRowHeight="11.25"/>
  <cols>
    <col min="1" max="1" width="5.28515625" style="224" customWidth="1"/>
    <col min="2" max="2" width="5" style="133" customWidth="1"/>
    <col min="3" max="3" width="40.140625" style="133" customWidth="1"/>
    <col min="4" max="4" width="8.7109375" style="133" customWidth="1"/>
    <col min="5" max="5" width="7.42578125" style="133" customWidth="1"/>
    <col min="6" max="6" width="10" style="133" customWidth="1"/>
    <col min="7" max="7" width="8.140625" style="133" customWidth="1"/>
    <col min="8" max="8" width="6.85546875" style="133" customWidth="1"/>
    <col min="9" max="9" width="7.85546875" style="224" customWidth="1"/>
    <col min="10" max="10" width="11.28515625" style="133" customWidth="1"/>
    <col min="11" max="11" width="11.140625" style="133" customWidth="1"/>
    <col min="12" max="12" width="14" style="133" customWidth="1"/>
    <col min="13" max="13" width="26.140625" style="133" customWidth="1"/>
    <col min="14" max="14" width="9.140625" style="133"/>
    <col min="15" max="15" width="10.85546875" style="133" bestFit="1" customWidth="1"/>
    <col min="16" max="16384" width="9.140625" style="133"/>
  </cols>
  <sheetData>
    <row r="1" spans="1:14" ht="12" thickBot="1">
      <c r="A1" s="877" t="s">
        <v>149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</row>
    <row r="2" spans="1:14">
      <c r="A2" s="878" t="s">
        <v>193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80"/>
    </row>
    <row r="3" spans="1:14">
      <c r="A3" s="881"/>
      <c r="B3" s="882"/>
      <c r="C3" s="882"/>
      <c r="D3" s="882"/>
      <c r="E3" s="882"/>
      <c r="F3" s="882"/>
      <c r="G3" s="882"/>
      <c r="H3" s="882"/>
      <c r="I3" s="882"/>
      <c r="J3" s="882"/>
      <c r="K3" s="882"/>
      <c r="L3" s="883"/>
    </row>
    <row r="4" spans="1:14">
      <c r="A4" s="881"/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3"/>
    </row>
    <row r="5" spans="1:14">
      <c r="A5" s="143" t="s">
        <v>7</v>
      </c>
      <c r="B5" s="134" t="s">
        <v>8</v>
      </c>
      <c r="C5" s="134" t="s">
        <v>9</v>
      </c>
      <c r="D5" s="134" t="s">
        <v>10</v>
      </c>
      <c r="E5" s="134" t="s">
        <v>11</v>
      </c>
      <c r="F5" s="134" t="s">
        <v>12</v>
      </c>
      <c r="G5" s="134" t="s">
        <v>13</v>
      </c>
      <c r="H5" s="134" t="s">
        <v>14</v>
      </c>
      <c r="I5" s="134" t="s">
        <v>150</v>
      </c>
      <c r="J5" s="135" t="s">
        <v>151</v>
      </c>
      <c r="K5" s="135" t="s">
        <v>152</v>
      </c>
      <c r="L5" s="144" t="s">
        <v>153</v>
      </c>
    </row>
    <row r="6" spans="1:14" ht="33" customHeight="1">
      <c r="A6" s="145" t="s">
        <v>154</v>
      </c>
      <c r="B6" s="140" t="s">
        <v>142</v>
      </c>
      <c r="C6" s="140" t="s">
        <v>155</v>
      </c>
      <c r="D6" s="140" t="s">
        <v>156</v>
      </c>
      <c r="E6" s="150" t="s">
        <v>195</v>
      </c>
      <c r="F6" s="140" t="s">
        <v>170</v>
      </c>
      <c r="G6" s="140" t="s">
        <v>171</v>
      </c>
      <c r="H6" s="140" t="s">
        <v>157</v>
      </c>
      <c r="I6" s="185" t="s">
        <v>214</v>
      </c>
      <c r="J6" s="141" t="s">
        <v>158</v>
      </c>
      <c r="K6" s="142" t="s">
        <v>167</v>
      </c>
      <c r="L6" s="146" t="s">
        <v>161</v>
      </c>
      <c r="M6" s="184"/>
    </row>
    <row r="7" spans="1:14" ht="15" customHeight="1">
      <c r="A7" s="885"/>
      <c r="B7" s="886">
        <v>2</v>
      </c>
      <c r="C7" s="888" t="s">
        <v>196</v>
      </c>
      <c r="D7" s="886" t="s">
        <v>160</v>
      </c>
      <c r="E7" s="890" t="s">
        <v>194</v>
      </c>
      <c r="F7" s="886">
        <v>10</v>
      </c>
      <c r="G7" s="886">
        <v>4</v>
      </c>
      <c r="H7" s="886">
        <v>12</v>
      </c>
      <c r="I7" s="136" t="s">
        <v>212</v>
      </c>
      <c r="J7" s="138" t="e">
        <f>#REF!</f>
        <v>#REF!</v>
      </c>
      <c r="K7" s="873" t="e">
        <f>(J7+J8)*F7</f>
        <v>#REF!</v>
      </c>
      <c r="L7" s="875" t="e">
        <f>K7*12</f>
        <v>#REF!</v>
      </c>
      <c r="M7" s="160"/>
      <c r="N7" s="149"/>
    </row>
    <row r="8" spans="1:14" ht="20.25" customHeight="1">
      <c r="A8" s="885"/>
      <c r="B8" s="887"/>
      <c r="C8" s="889"/>
      <c r="D8" s="887"/>
      <c r="E8" s="891"/>
      <c r="F8" s="887"/>
      <c r="G8" s="887"/>
      <c r="H8" s="887"/>
      <c r="I8" s="136" t="s">
        <v>213</v>
      </c>
      <c r="J8" s="138" t="e">
        <f>#REF!</f>
        <v>#REF!</v>
      </c>
      <c r="K8" s="874"/>
      <c r="L8" s="876"/>
      <c r="M8" s="160"/>
      <c r="N8" s="149"/>
    </row>
    <row r="9" spans="1:14" ht="13.5" customHeight="1" thickBot="1">
      <c r="A9" s="865" t="s">
        <v>217</v>
      </c>
      <c r="B9" s="866"/>
      <c r="C9" s="866"/>
      <c r="D9" s="866"/>
      <c r="E9" s="866"/>
      <c r="F9" s="866"/>
      <c r="G9" s="866"/>
      <c r="H9" s="866"/>
      <c r="I9" s="866"/>
      <c r="J9" s="867"/>
      <c r="K9" s="151" t="e">
        <f>K7</f>
        <v>#REF!</v>
      </c>
      <c r="L9" s="152" t="e">
        <f>L7</f>
        <v>#REF!</v>
      </c>
      <c r="M9" s="149"/>
    </row>
    <row r="11" spans="1:14" ht="12.75" customHeight="1">
      <c r="A11" s="868" t="s">
        <v>168</v>
      </c>
      <c r="B11" s="868"/>
      <c r="C11" s="868"/>
      <c r="D11" s="868"/>
      <c r="E11" s="868"/>
      <c r="F11" s="868"/>
      <c r="G11" s="868"/>
      <c r="H11" s="868"/>
      <c r="I11" s="868"/>
      <c r="J11" s="868"/>
      <c r="K11" s="868"/>
      <c r="L11" s="868"/>
      <c r="N11" s="227">
        <v>0.02</v>
      </c>
    </row>
    <row r="12" spans="1:14" ht="12.75" customHeight="1">
      <c r="A12" s="869" t="s">
        <v>169</v>
      </c>
      <c r="B12" s="869"/>
      <c r="C12" s="869"/>
      <c r="D12" s="869"/>
      <c r="E12" s="869"/>
      <c r="F12" s="869"/>
      <c r="G12" s="869"/>
      <c r="H12" s="869"/>
      <c r="I12" s="869"/>
      <c r="J12" s="869"/>
      <c r="K12" s="869"/>
      <c r="L12" s="869"/>
      <c r="N12" s="227">
        <v>1.37E-2</v>
      </c>
    </row>
    <row r="13" spans="1:14">
      <c r="L13" s="149"/>
    </row>
    <row r="14" spans="1:14">
      <c r="L14" s="149"/>
    </row>
    <row r="17" spans="10:15">
      <c r="L17" s="157"/>
    </row>
    <row r="19" spans="10:15" ht="13.5" customHeight="1" thickBot="1">
      <c r="J19" s="870"/>
      <c r="K19" s="870"/>
      <c r="L19" s="870"/>
      <c r="M19" s="870"/>
      <c r="O19" s="222"/>
    </row>
    <row r="20" spans="10:15" ht="12.75" customHeight="1">
      <c r="J20" s="871"/>
      <c r="K20" s="872"/>
      <c r="L20" s="188"/>
      <c r="M20" s="189"/>
      <c r="O20" s="222"/>
    </row>
    <row r="21" spans="10:15" ht="12.75">
      <c r="J21" s="863"/>
      <c r="K21" s="864"/>
      <c r="L21" s="190"/>
      <c r="M21" s="197"/>
      <c r="O21" s="223"/>
    </row>
    <row r="22" spans="10:15">
      <c r="J22" s="191"/>
      <c r="K22" s="192"/>
      <c r="L22" s="192"/>
      <c r="M22" s="193"/>
      <c r="O22" s="222"/>
    </row>
    <row r="23" spans="10:15" ht="12.75">
      <c r="J23" s="863"/>
      <c r="K23" s="864"/>
      <c r="L23" s="190"/>
      <c r="M23" s="197"/>
      <c r="O23" s="223"/>
    </row>
    <row r="24" spans="10:15">
      <c r="J24" s="191"/>
      <c r="K24" s="192"/>
      <c r="L24" s="192"/>
      <c r="M24" s="193"/>
      <c r="O24" s="222"/>
    </row>
    <row r="25" spans="10:15" ht="12.75">
      <c r="J25" s="863"/>
      <c r="K25" s="864"/>
      <c r="L25" s="190"/>
      <c r="M25" s="197"/>
      <c r="O25" s="223"/>
    </row>
    <row r="26" spans="10:15">
      <c r="J26" s="191"/>
      <c r="K26" s="192"/>
      <c r="L26" s="192"/>
      <c r="M26" s="193"/>
      <c r="O26" s="222"/>
    </row>
    <row r="27" spans="10:15">
      <c r="J27" s="191"/>
      <c r="K27" s="192"/>
      <c r="L27" s="192"/>
      <c r="M27" s="193"/>
      <c r="O27" s="222"/>
    </row>
    <row r="28" spans="10:15">
      <c r="J28" s="191"/>
      <c r="K28" s="192"/>
      <c r="L28" s="192"/>
      <c r="M28" s="193"/>
      <c r="O28" s="222"/>
    </row>
    <row r="29" spans="10:15" ht="12" thickBot="1">
      <c r="J29" s="194"/>
      <c r="K29" s="195"/>
      <c r="L29" s="195"/>
      <c r="M29" s="196"/>
      <c r="O29" s="223"/>
    </row>
  </sheetData>
  <mergeCells count="20">
    <mergeCell ref="A1:L1"/>
    <mergeCell ref="A2:L4"/>
    <mergeCell ref="A7:A8"/>
    <mergeCell ref="J21:K21"/>
    <mergeCell ref="J23:K23"/>
    <mergeCell ref="J25:K25"/>
    <mergeCell ref="L7:L8"/>
    <mergeCell ref="A9:J9"/>
    <mergeCell ref="A11:L11"/>
    <mergeCell ref="A12:L12"/>
    <mergeCell ref="J19:M19"/>
    <mergeCell ref="J20:K20"/>
    <mergeCell ref="B7:B8"/>
    <mergeCell ref="C7:C8"/>
    <mergeCell ref="D7:D8"/>
    <mergeCell ref="E7:E8"/>
    <mergeCell ref="F7:F8"/>
    <mergeCell ref="G7:G8"/>
    <mergeCell ref="H7:H8"/>
    <mergeCell ref="K7:K8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A3:S158"/>
  <sheetViews>
    <sheetView view="pageBreakPreview" topLeftCell="A116" zoomScaleNormal="100" zoomScaleSheetLayoutView="100" workbookViewId="0">
      <selection activeCell="M6" sqref="M6:N8"/>
    </sheetView>
  </sheetViews>
  <sheetFormatPr defaultRowHeight="15"/>
  <cols>
    <col min="1" max="1" width="5.42578125" style="2" customWidth="1"/>
    <col min="2" max="2" width="3.5703125" style="2" customWidth="1"/>
    <col min="3" max="3" width="9.140625" style="2"/>
    <col min="4" max="4" width="12.7109375" style="2" customWidth="1"/>
    <col min="5" max="5" width="9.140625" style="2"/>
    <col min="6" max="6" width="10.85546875" style="2" bestFit="1" customWidth="1"/>
    <col min="7" max="7" width="19.140625" style="2" customWidth="1"/>
    <col min="8" max="8" width="20.28515625" style="2" customWidth="1"/>
    <col min="9" max="9" width="10.140625" style="2" customWidth="1"/>
    <col min="10" max="10" width="17.5703125" style="2" customWidth="1"/>
    <col min="11" max="11" width="12.5703125" style="2" customWidth="1"/>
    <col min="12" max="12" width="19.42578125" style="2" hidden="1" customWidth="1"/>
    <col min="13" max="13" width="9.85546875" style="2" hidden="1" customWidth="1"/>
    <col min="14" max="14" width="7.5703125" style="2" hidden="1" customWidth="1"/>
    <col min="15" max="15" width="10.5703125" style="2" hidden="1" customWidth="1"/>
    <col min="16" max="16" width="19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3" spans="1:13" s="6" customFormat="1" ht="108.75" customHeight="1" thickBot="1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18"/>
      <c r="L3" s="5"/>
      <c r="M3" s="5"/>
    </row>
    <row r="4" spans="1:13" s="6" customFormat="1" ht="18.75" customHeight="1" thickTop="1" thickBot="1">
      <c r="A4" s="854" t="s">
        <v>199</v>
      </c>
      <c r="B4" s="855"/>
      <c r="C4" s="855"/>
      <c r="D4" s="855"/>
      <c r="E4" s="855"/>
      <c r="F4" s="855"/>
      <c r="G4" s="855"/>
      <c r="H4" s="855"/>
      <c r="I4" s="855"/>
      <c r="J4" s="856"/>
      <c r="K4" s="5"/>
      <c r="L4" s="5"/>
      <c r="M4" s="5"/>
    </row>
    <row r="5" spans="1:13" s="5" customFormat="1" ht="10.5" customHeight="1" thickTop="1">
      <c r="A5" s="119"/>
      <c r="B5" s="120"/>
      <c r="C5" s="120"/>
      <c r="D5" s="120"/>
      <c r="E5" s="120"/>
      <c r="F5" s="120"/>
      <c r="G5" s="120"/>
      <c r="H5" s="120"/>
      <c r="I5" s="120"/>
      <c r="J5" s="121"/>
    </row>
    <row r="6" spans="1:13" s="6" customFormat="1" ht="13.5" thickBot="1">
      <c r="A6" s="857" t="s">
        <v>139</v>
      </c>
      <c r="B6" s="858"/>
      <c r="C6" s="858"/>
      <c r="D6" s="858"/>
      <c r="E6" s="858"/>
      <c r="F6" s="858"/>
      <c r="G6" s="858"/>
      <c r="H6" s="858"/>
      <c r="I6" s="858"/>
      <c r="J6" s="859"/>
      <c r="K6" s="5"/>
      <c r="L6" s="5"/>
      <c r="M6" s="5"/>
    </row>
    <row r="7" spans="1:13" s="6" customFormat="1" ht="16.5" customHeight="1" thickTop="1" thickBot="1">
      <c r="A7" s="826"/>
      <c r="B7" s="826"/>
      <c r="C7" s="826"/>
      <c r="D7" s="826"/>
      <c r="E7" s="826"/>
      <c r="F7" s="7"/>
      <c r="G7" s="8"/>
      <c r="H7" s="8"/>
      <c r="I7" s="7" t="s">
        <v>127</v>
      </c>
      <c r="J7" s="8" t="s">
        <v>200</v>
      </c>
      <c r="K7" s="5"/>
      <c r="L7" s="5"/>
      <c r="M7" s="5"/>
    </row>
    <row r="8" spans="1:13" s="6" customFormat="1" ht="14.25" thickTop="1" thickBot="1">
      <c r="A8" s="833" t="s">
        <v>23</v>
      </c>
      <c r="B8" s="834"/>
      <c r="C8" s="834"/>
      <c r="D8" s="834"/>
      <c r="E8" s="834"/>
      <c r="F8" s="834"/>
      <c r="G8" s="834"/>
      <c r="H8" s="834"/>
      <c r="I8" s="834"/>
      <c r="J8" s="835"/>
      <c r="K8" s="5"/>
      <c r="L8" s="5"/>
      <c r="M8" s="5"/>
    </row>
    <row r="9" spans="1:13" s="6" customFormat="1" ht="14.25" thickTop="1" thickBot="1">
      <c r="A9" s="860" t="s">
        <v>203</v>
      </c>
      <c r="B9" s="861"/>
      <c r="C9" s="861"/>
      <c r="D9" s="861"/>
      <c r="E9" s="861"/>
      <c r="F9" s="861"/>
      <c r="G9" s="861"/>
      <c r="H9" s="861"/>
      <c r="I9" s="861"/>
      <c r="J9" s="862"/>
      <c r="K9" s="5"/>
      <c r="L9" s="5"/>
      <c r="M9" s="5"/>
    </row>
    <row r="10" spans="1:13" s="6" customFormat="1" ht="14.25" thickTop="1" thickBot="1">
      <c r="A10" s="220" t="s">
        <v>128</v>
      </c>
      <c r="B10" s="9" t="s">
        <v>129</v>
      </c>
      <c r="C10" s="10"/>
      <c r="D10" s="10"/>
      <c r="E10" s="10"/>
      <c r="F10" s="11"/>
      <c r="G10" s="842" t="str">
        <f>J7</f>
        <v>25/05/2020 - 09:00H</v>
      </c>
      <c r="H10" s="843"/>
      <c r="I10" s="843"/>
      <c r="J10" s="844"/>
      <c r="K10" s="5"/>
      <c r="L10" s="5"/>
      <c r="M10" s="5"/>
    </row>
    <row r="11" spans="1:13" s="6" customFormat="1" ht="14.25" thickTop="1" thickBot="1">
      <c r="A11" s="220" t="s">
        <v>8</v>
      </c>
      <c r="B11" s="9" t="s">
        <v>130</v>
      </c>
      <c r="C11" s="10"/>
      <c r="D11" s="10"/>
      <c r="E11" s="10"/>
      <c r="F11" s="11"/>
      <c r="G11" s="842" t="s">
        <v>164</v>
      </c>
      <c r="H11" s="843"/>
      <c r="I11" s="843"/>
      <c r="J11" s="844"/>
      <c r="K11" s="5"/>
      <c r="L11" s="5"/>
      <c r="M11" s="5"/>
    </row>
    <row r="12" spans="1:13" s="6" customFormat="1" ht="16.5" customHeight="1" thickTop="1" thickBot="1">
      <c r="A12" s="220" t="s">
        <v>9</v>
      </c>
      <c r="B12" s="9" t="s">
        <v>131</v>
      </c>
      <c r="C12" s="10"/>
      <c r="D12" s="10"/>
      <c r="E12" s="10"/>
      <c r="F12" s="11"/>
      <c r="G12" s="842" t="s">
        <v>176</v>
      </c>
      <c r="H12" s="845"/>
      <c r="I12" s="845"/>
      <c r="J12" s="846"/>
      <c r="K12" s="5"/>
      <c r="L12" s="5"/>
      <c r="M12" s="5"/>
    </row>
    <row r="13" spans="1:13" s="6" customFormat="1" ht="16.5" customHeight="1" thickTop="1" thickBot="1">
      <c r="A13" s="220" t="s">
        <v>10</v>
      </c>
      <c r="B13" s="9" t="s">
        <v>132</v>
      </c>
      <c r="C13" s="10"/>
      <c r="D13" s="10"/>
      <c r="E13" s="10"/>
      <c r="F13" s="11"/>
      <c r="G13" s="847">
        <v>12</v>
      </c>
      <c r="H13" s="845"/>
      <c r="I13" s="845"/>
      <c r="J13" s="846"/>
      <c r="K13" s="5"/>
      <c r="L13" s="5"/>
      <c r="M13" s="5"/>
    </row>
    <row r="14" spans="1:13" s="6" customFormat="1" ht="16.5" customHeight="1" thickTop="1" thickBot="1">
      <c r="A14" s="825" t="s">
        <v>133</v>
      </c>
      <c r="B14" s="826"/>
      <c r="C14" s="826"/>
      <c r="D14" s="826"/>
      <c r="E14" s="826"/>
      <c r="F14" s="826"/>
      <c r="G14" s="826"/>
      <c r="H14" s="826"/>
      <c r="I14" s="826"/>
      <c r="J14" s="827"/>
      <c r="K14" s="5"/>
      <c r="L14" s="5"/>
      <c r="M14" s="5"/>
    </row>
    <row r="15" spans="1:13" s="6" customFormat="1" ht="14.25" thickTop="1" thickBot="1">
      <c r="A15" s="848" t="s">
        <v>134</v>
      </c>
      <c r="B15" s="849"/>
      <c r="C15" s="849"/>
      <c r="D15" s="849"/>
      <c r="E15" s="849"/>
      <c r="F15" s="849"/>
      <c r="G15" s="849"/>
      <c r="H15" s="849"/>
      <c r="I15" s="849"/>
      <c r="J15" s="850"/>
      <c r="K15" s="5"/>
      <c r="L15" s="5"/>
      <c r="M15" s="5"/>
    </row>
    <row r="16" spans="1:13" s="6" customFormat="1" ht="14.25" thickTop="1" thickBot="1">
      <c r="A16" s="12">
        <v>1</v>
      </c>
      <c r="B16" s="13" t="s">
        <v>25</v>
      </c>
      <c r="C16" s="14"/>
      <c r="D16" s="14"/>
      <c r="E16" s="14"/>
      <c r="F16" s="15"/>
      <c r="G16" s="851" t="str">
        <f>A9</f>
        <v>VIGILANCIA DESARMADA 12 HORAS DIURNAS 12X36 DE SEGUNDA FEIRA A DOMINGO</v>
      </c>
      <c r="H16" s="852"/>
      <c r="I16" s="852"/>
      <c r="J16" s="853"/>
      <c r="K16" s="5"/>
      <c r="L16" s="5"/>
      <c r="M16" s="5"/>
    </row>
    <row r="17" spans="1:13" s="6" customFormat="1" ht="14.25" thickTop="1" thickBot="1">
      <c r="A17" s="12">
        <v>2</v>
      </c>
      <c r="B17" s="13" t="s">
        <v>135</v>
      </c>
      <c r="C17" s="14"/>
      <c r="D17" s="14"/>
      <c r="E17" s="14"/>
      <c r="F17" s="15"/>
      <c r="G17" s="833" t="s">
        <v>136</v>
      </c>
      <c r="H17" s="834"/>
      <c r="I17" s="834"/>
      <c r="J17" s="835"/>
      <c r="K17" s="5"/>
      <c r="L17" s="5"/>
      <c r="M17" s="5"/>
    </row>
    <row r="18" spans="1:13" s="6" customFormat="1" ht="14.25" thickTop="1" thickBot="1">
      <c r="A18" s="12">
        <v>3</v>
      </c>
      <c r="B18" s="13" t="s">
        <v>137</v>
      </c>
      <c r="C18" s="14"/>
      <c r="D18" s="14"/>
      <c r="E18" s="14"/>
      <c r="F18" s="15"/>
      <c r="G18" s="836">
        <v>1401.07</v>
      </c>
      <c r="H18" s="837"/>
      <c r="I18" s="837"/>
      <c r="J18" s="838"/>
      <c r="K18" s="5"/>
      <c r="L18" s="5"/>
      <c r="M18" s="5"/>
    </row>
    <row r="19" spans="1:13" s="6" customFormat="1" ht="14.25" thickTop="1" thickBot="1">
      <c r="A19" s="12">
        <v>4</v>
      </c>
      <c r="B19" s="13" t="s">
        <v>138</v>
      </c>
      <c r="C19" s="14"/>
      <c r="D19" s="14"/>
      <c r="E19" s="14"/>
      <c r="F19" s="15"/>
      <c r="G19" s="839">
        <v>43831</v>
      </c>
      <c r="H19" s="834"/>
      <c r="I19" s="834"/>
      <c r="J19" s="835"/>
      <c r="K19" s="5"/>
      <c r="L19" s="5"/>
      <c r="M19" s="5"/>
    </row>
    <row r="20" spans="1:13" s="17" customFormat="1" ht="14.25" thickTop="1" thickBot="1">
      <c r="B20" s="215"/>
      <c r="C20" s="204"/>
      <c r="D20" s="204"/>
      <c r="E20" s="204"/>
      <c r="F20" s="204"/>
      <c r="G20" s="204"/>
      <c r="H20" s="204"/>
      <c r="I20" s="204"/>
      <c r="J20" s="215"/>
    </row>
    <row r="21" spans="1:13" s="17" customFormat="1" ht="14.25" thickTop="1" thickBot="1">
      <c r="A21" s="725" t="s">
        <v>76</v>
      </c>
      <c r="B21" s="726"/>
      <c r="C21" s="726"/>
      <c r="D21" s="726"/>
      <c r="E21" s="726"/>
      <c r="F21" s="726"/>
      <c r="G21" s="726"/>
      <c r="H21" s="726"/>
      <c r="I21" s="726"/>
      <c r="J21" s="727"/>
    </row>
    <row r="22" spans="1:13" s="17" customFormat="1" ht="14.25" thickTop="1" thickBot="1">
      <c r="B22" s="215"/>
      <c r="C22" s="204"/>
      <c r="D22" s="204"/>
      <c r="E22" s="204"/>
      <c r="F22" s="204"/>
      <c r="G22" s="204"/>
      <c r="H22" s="204"/>
      <c r="I22" s="215"/>
      <c r="J22" s="215"/>
    </row>
    <row r="23" spans="1:13" s="17" customFormat="1" ht="14.25" thickTop="1" thickBot="1">
      <c r="A23" s="840" t="s">
        <v>25</v>
      </c>
      <c r="B23" s="840"/>
      <c r="C23" s="840"/>
      <c r="D23" s="840"/>
      <c r="E23" s="840"/>
      <c r="F23" s="840"/>
      <c r="G23" s="37" t="s">
        <v>26</v>
      </c>
      <c r="H23" s="744" t="s">
        <v>27</v>
      </c>
      <c r="I23" s="745"/>
      <c r="J23" s="841"/>
    </row>
    <row r="24" spans="1:13" s="17" customFormat="1" ht="14.25" thickTop="1" thickBot="1">
      <c r="A24" s="822" t="str">
        <f>G16</f>
        <v>VIGILANCIA DESARMADA 12 HORAS DIURNAS 12X36 DE SEGUNDA FEIRA A DOMINGO</v>
      </c>
      <c r="B24" s="823"/>
      <c r="C24" s="823"/>
      <c r="D24" s="823"/>
      <c r="E24" s="823"/>
      <c r="F24" s="823"/>
      <c r="G24" s="38" t="s">
        <v>94</v>
      </c>
      <c r="H24" s="821">
        <v>12</v>
      </c>
      <c r="I24" s="821"/>
      <c r="J24" s="824"/>
    </row>
    <row r="25" spans="1:13" s="17" customFormat="1" ht="14.25" thickTop="1" thickBot="1">
      <c r="B25" s="215"/>
      <c r="C25" s="204"/>
      <c r="D25" s="204"/>
      <c r="E25" s="204"/>
      <c r="F25" s="204"/>
      <c r="G25" s="204"/>
      <c r="H25" s="204"/>
      <c r="I25" s="204"/>
      <c r="J25" s="215"/>
    </row>
    <row r="26" spans="1:13" s="17" customFormat="1" ht="14.25" thickTop="1" thickBot="1">
      <c r="A26" s="825" t="s">
        <v>140</v>
      </c>
      <c r="B26" s="826"/>
      <c r="C26" s="826"/>
      <c r="D26" s="826"/>
      <c r="E26" s="826"/>
      <c r="F26" s="826"/>
      <c r="G26" s="826"/>
      <c r="H26" s="826"/>
      <c r="I26" s="826"/>
      <c r="J26" s="827"/>
    </row>
    <row r="27" spans="1:13" s="17" customFormat="1" ht="13.5" thickTop="1">
      <c r="B27" s="204"/>
      <c r="C27" s="204"/>
      <c r="D27" s="204"/>
      <c r="E27" s="204"/>
      <c r="F27" s="204"/>
      <c r="G27" s="204"/>
      <c r="H27" s="204"/>
      <c r="I27" s="204"/>
      <c r="J27" s="215"/>
    </row>
    <row r="28" spans="1:13" s="17" customFormat="1" ht="13.5" thickBot="1">
      <c r="A28" s="828" t="s">
        <v>38</v>
      </c>
      <c r="B28" s="828"/>
      <c r="C28" s="828"/>
      <c r="D28" s="828"/>
      <c r="E28" s="828"/>
      <c r="F28" s="828"/>
      <c r="G28" s="828"/>
      <c r="H28" s="828"/>
      <c r="I28" s="828"/>
      <c r="J28" s="829"/>
    </row>
    <row r="29" spans="1:13" s="17" customFormat="1" ht="14.25" thickTop="1" thickBot="1">
      <c r="A29" s="217">
        <v>1</v>
      </c>
      <c r="B29" s="754" t="s">
        <v>81</v>
      </c>
      <c r="C29" s="755"/>
      <c r="D29" s="755"/>
      <c r="E29" s="755"/>
      <c r="F29" s="755"/>
      <c r="G29" s="755"/>
      <c r="H29" s="201"/>
      <c r="I29" s="201"/>
      <c r="J29" s="40" t="s">
        <v>141</v>
      </c>
    </row>
    <row r="30" spans="1:13" s="17" customFormat="1" ht="14.25" thickTop="1" thickBot="1">
      <c r="A30" s="217">
        <v>2</v>
      </c>
      <c r="B30" s="830" t="s">
        <v>39</v>
      </c>
      <c r="C30" s="831"/>
      <c r="D30" s="831"/>
      <c r="E30" s="831"/>
      <c r="F30" s="831"/>
      <c r="G30" s="831"/>
      <c r="H30" s="831"/>
      <c r="I30" s="832"/>
      <c r="J30" s="39" t="s">
        <v>121</v>
      </c>
    </row>
    <row r="31" spans="1:13" s="17" customFormat="1" ht="14.25" thickTop="1" thickBot="1">
      <c r="A31" s="217">
        <v>3</v>
      </c>
      <c r="B31" s="814" t="s">
        <v>6</v>
      </c>
      <c r="C31" s="815"/>
      <c r="D31" s="815"/>
      <c r="E31" s="815"/>
      <c r="F31" s="815"/>
      <c r="G31" s="815"/>
      <c r="H31" s="815"/>
      <c r="I31" s="816"/>
      <c r="J31" s="19">
        <f>G18</f>
        <v>1401.07</v>
      </c>
    </row>
    <row r="32" spans="1:13" s="17" customFormat="1" ht="14.25" thickTop="1" thickBot="1">
      <c r="A32" s="217">
        <v>4</v>
      </c>
      <c r="B32" s="814" t="s">
        <v>177</v>
      </c>
      <c r="C32" s="815"/>
      <c r="D32" s="815"/>
      <c r="E32" s="815"/>
      <c r="F32" s="815"/>
      <c r="G32" s="815"/>
      <c r="H32" s="815"/>
      <c r="I32" s="816"/>
      <c r="J32" s="18" t="s">
        <v>108</v>
      </c>
    </row>
    <row r="33" spans="1:18" s="17" customFormat="1" ht="14.25" thickTop="1" thickBot="1">
      <c r="A33" s="217">
        <v>6</v>
      </c>
      <c r="B33" s="817" t="s">
        <v>5</v>
      </c>
      <c r="C33" s="818"/>
      <c r="D33" s="818"/>
      <c r="E33" s="818"/>
      <c r="F33" s="818"/>
      <c r="G33" s="818"/>
      <c r="H33" s="818"/>
      <c r="I33" s="819"/>
      <c r="J33" s="20">
        <v>43831</v>
      </c>
    </row>
    <row r="34" spans="1:18" s="17" customFormat="1" ht="14.25" thickTop="1" thickBot="1">
      <c r="B34" s="820"/>
      <c r="C34" s="820"/>
      <c r="D34" s="820"/>
      <c r="E34" s="820"/>
      <c r="F34" s="820"/>
      <c r="G34" s="820"/>
      <c r="H34" s="820"/>
      <c r="I34" s="820"/>
      <c r="J34" s="820"/>
    </row>
    <row r="35" spans="1:18" s="17" customFormat="1" ht="14.25" thickTop="1" thickBot="1">
      <c r="A35" s="750" t="s">
        <v>23</v>
      </c>
      <c r="B35" s="751"/>
      <c r="C35" s="751"/>
      <c r="D35" s="751"/>
      <c r="E35" s="751"/>
      <c r="F35" s="751"/>
      <c r="G35" s="751"/>
      <c r="H35" s="751"/>
      <c r="I35" s="751"/>
      <c r="J35" s="752"/>
    </row>
    <row r="36" spans="1:18" s="17" customFormat="1" ht="14.25" thickTop="1" thickBot="1">
      <c r="A36" s="217">
        <v>1</v>
      </c>
      <c r="B36" s="821" t="s">
        <v>15</v>
      </c>
      <c r="C36" s="821"/>
      <c r="D36" s="821"/>
      <c r="E36" s="821"/>
      <c r="F36" s="821"/>
      <c r="G36" s="821"/>
      <c r="H36" s="821"/>
      <c r="I36" s="216" t="s">
        <v>3</v>
      </c>
      <c r="J36" s="216" t="s">
        <v>1</v>
      </c>
    </row>
    <row r="37" spans="1:18" s="17" customFormat="1" ht="14.25" thickTop="1" thickBot="1">
      <c r="A37" s="217" t="s">
        <v>7</v>
      </c>
      <c r="B37" s="811" t="s">
        <v>24</v>
      </c>
      <c r="C37" s="811"/>
      <c r="D37" s="811"/>
      <c r="E37" s="811"/>
      <c r="F37" s="811"/>
      <c r="G37" s="811"/>
      <c r="H37" s="811"/>
      <c r="I37" s="43">
        <v>1</v>
      </c>
      <c r="J37" s="50">
        <f>J31</f>
        <v>1401.07</v>
      </c>
      <c r="K37" s="21"/>
    </row>
    <row r="38" spans="1:18" s="17" customFormat="1" ht="14.25" thickTop="1" thickBot="1">
      <c r="A38" s="217" t="s">
        <v>8</v>
      </c>
      <c r="B38" s="811" t="s">
        <v>40</v>
      </c>
      <c r="C38" s="811"/>
      <c r="D38" s="811"/>
      <c r="E38" s="811"/>
      <c r="F38" s="811"/>
      <c r="G38" s="811"/>
      <c r="H38" s="811"/>
      <c r="I38" s="44">
        <v>0.3</v>
      </c>
      <c r="J38" s="50">
        <f>J37*I38</f>
        <v>420.32099999999997</v>
      </c>
      <c r="K38" s="21"/>
    </row>
    <row r="39" spans="1:18" s="17" customFormat="1" ht="14.25" thickTop="1" thickBot="1">
      <c r="A39" s="217" t="s">
        <v>9</v>
      </c>
      <c r="B39" s="811" t="s">
        <v>2</v>
      </c>
      <c r="C39" s="811"/>
      <c r="D39" s="811"/>
      <c r="E39" s="811"/>
      <c r="F39" s="811"/>
      <c r="G39" s="811"/>
      <c r="H39" s="811"/>
      <c r="I39" s="45">
        <v>0</v>
      </c>
      <c r="J39" s="50">
        <f>((J37+J38)/220)*0.2*I39</f>
        <v>0</v>
      </c>
      <c r="K39" s="22"/>
      <c r="Q39" s="16"/>
      <c r="R39" s="23"/>
    </row>
    <row r="40" spans="1:18" s="17" customFormat="1" ht="14.25" thickTop="1" thickBot="1">
      <c r="A40" s="217" t="s">
        <v>10</v>
      </c>
      <c r="B40" s="811" t="s">
        <v>109</v>
      </c>
      <c r="C40" s="811"/>
      <c r="D40" s="811"/>
      <c r="E40" s="811"/>
      <c r="F40" s="811"/>
      <c r="G40" s="811"/>
      <c r="H40" s="811"/>
      <c r="I40" s="45">
        <v>0</v>
      </c>
      <c r="J40" s="50">
        <f>I40*14.89</f>
        <v>0</v>
      </c>
      <c r="K40" s="22"/>
      <c r="Q40" s="16"/>
      <c r="R40" s="16"/>
    </row>
    <row r="41" spans="1:18" s="17" customFormat="1" ht="14.25" hidden="1" thickTop="1" thickBot="1">
      <c r="A41" s="217"/>
      <c r="B41" s="46"/>
      <c r="C41" s="811" t="s">
        <v>111</v>
      </c>
      <c r="D41" s="811"/>
      <c r="E41" s="811"/>
      <c r="F41" s="811"/>
      <c r="G41" s="811"/>
      <c r="H41" s="811"/>
      <c r="I41" s="47">
        <v>0</v>
      </c>
      <c r="J41" s="50">
        <f>I41*15</f>
        <v>0</v>
      </c>
      <c r="K41" s="22"/>
    </row>
    <row r="42" spans="1:18" s="17" customFormat="1" ht="14.25" hidden="1" thickTop="1" thickBot="1">
      <c r="A42" s="217"/>
      <c r="B42" s="216"/>
      <c r="C42" s="811" t="s">
        <v>110</v>
      </c>
      <c r="D42" s="811"/>
      <c r="E42" s="811"/>
      <c r="F42" s="811"/>
      <c r="G42" s="811"/>
      <c r="H42" s="811"/>
      <c r="I42" s="47">
        <v>0</v>
      </c>
      <c r="J42" s="50">
        <f>J41/6</f>
        <v>0</v>
      </c>
      <c r="K42" s="22"/>
    </row>
    <row r="43" spans="1:18" s="17" customFormat="1" ht="14.25" hidden="1" thickTop="1" thickBot="1">
      <c r="A43" s="217"/>
      <c r="B43" s="216"/>
      <c r="C43" s="811" t="s">
        <v>112</v>
      </c>
      <c r="D43" s="811"/>
      <c r="E43" s="811"/>
      <c r="F43" s="811"/>
      <c r="G43" s="811"/>
      <c r="H43" s="811"/>
      <c r="I43" s="48">
        <v>0</v>
      </c>
      <c r="J43" s="50">
        <f>I43*I39</f>
        <v>0</v>
      </c>
      <c r="K43" s="22"/>
    </row>
    <row r="44" spans="1:18" s="17" customFormat="1" ht="14.25" thickTop="1" thickBot="1">
      <c r="A44" s="217" t="s">
        <v>11</v>
      </c>
      <c r="B44" s="811" t="s">
        <v>123</v>
      </c>
      <c r="C44" s="811"/>
      <c r="D44" s="811"/>
      <c r="E44" s="811"/>
      <c r="F44" s="811"/>
      <c r="G44" s="811"/>
      <c r="H44" s="811"/>
      <c r="I44" s="49"/>
      <c r="J44" s="51">
        <f>(J39+J40)/6</f>
        <v>0</v>
      </c>
      <c r="K44" s="22"/>
      <c r="Q44" s="24"/>
    </row>
    <row r="45" spans="1:18" s="17" customFormat="1" ht="14.25" thickTop="1" thickBot="1">
      <c r="A45" s="744" t="s">
        <v>95</v>
      </c>
      <c r="B45" s="745"/>
      <c r="C45" s="745"/>
      <c r="D45" s="745"/>
      <c r="E45" s="745"/>
      <c r="F45" s="745"/>
      <c r="G45" s="745"/>
      <c r="H45" s="745"/>
      <c r="I45" s="745"/>
      <c r="J45" s="52">
        <f>SUM(J37:J44)</f>
        <v>1821.3909999999998</v>
      </c>
      <c r="K45" s="22"/>
      <c r="Q45" s="25"/>
      <c r="R45" s="23"/>
    </row>
    <row r="46" spans="1:18" s="17" customFormat="1" ht="14.25" thickTop="1" thickBot="1">
      <c r="A46" s="744" t="s">
        <v>57</v>
      </c>
      <c r="B46" s="745"/>
      <c r="C46" s="745"/>
      <c r="D46" s="745"/>
      <c r="E46" s="745"/>
      <c r="F46" s="745"/>
      <c r="G46" s="745"/>
      <c r="H46" s="745"/>
      <c r="I46" s="745"/>
      <c r="J46" s="53">
        <f>SUM(J45)</f>
        <v>1821.3909999999998</v>
      </c>
      <c r="K46" s="22"/>
      <c r="Q46" s="25"/>
    </row>
    <row r="47" spans="1:18" s="17" customFormat="1" ht="13.5" thickTop="1">
      <c r="B47" s="199"/>
      <c r="C47" s="199"/>
      <c r="D47" s="199"/>
      <c r="E47" s="199"/>
      <c r="F47" s="199"/>
      <c r="G47" s="199"/>
      <c r="H47" s="199"/>
      <c r="I47" s="199"/>
      <c r="J47" s="26"/>
      <c r="K47" s="27"/>
      <c r="Q47" s="25"/>
    </row>
    <row r="48" spans="1:18" s="17" customFormat="1" ht="13.5" thickBot="1">
      <c r="B48" s="199"/>
      <c r="C48" s="199"/>
      <c r="D48" s="199"/>
      <c r="E48" s="199"/>
      <c r="F48" s="199"/>
      <c r="G48" s="199"/>
      <c r="H48" s="199"/>
      <c r="I48" s="199"/>
      <c r="J48" s="28"/>
      <c r="K48" s="29"/>
    </row>
    <row r="49" spans="1:13" s="17" customFormat="1" ht="14.25" thickTop="1" thickBot="1">
      <c r="A49" s="750" t="s">
        <v>41</v>
      </c>
      <c r="B49" s="751"/>
      <c r="C49" s="751"/>
      <c r="D49" s="751"/>
      <c r="E49" s="751"/>
      <c r="F49" s="751"/>
      <c r="G49" s="751"/>
      <c r="H49" s="751"/>
      <c r="I49" s="751"/>
      <c r="J49" s="812"/>
      <c r="K49" s="29"/>
      <c r="M49" s="211"/>
    </row>
    <row r="50" spans="1:13" s="17" customFormat="1" ht="14.25" thickTop="1" thickBot="1">
      <c r="A50" s="721" t="s">
        <v>47</v>
      </c>
      <c r="B50" s="721"/>
      <c r="C50" s="721"/>
      <c r="D50" s="721"/>
      <c r="E50" s="721"/>
      <c r="F50" s="721"/>
      <c r="G50" s="721"/>
      <c r="H50" s="813"/>
      <c r="I50" s="41" t="s">
        <v>3</v>
      </c>
      <c r="J50" s="42" t="s">
        <v>1</v>
      </c>
      <c r="K50" s="29"/>
      <c r="L50" s="16"/>
      <c r="M50" s="211"/>
    </row>
    <row r="51" spans="1:13" s="17" customFormat="1" ht="14.25" thickTop="1" thickBot="1">
      <c r="A51" s="214" t="s">
        <v>7</v>
      </c>
      <c r="B51" s="754" t="s">
        <v>178</v>
      </c>
      <c r="C51" s="755"/>
      <c r="D51" s="755"/>
      <c r="E51" s="755"/>
      <c r="F51" s="755"/>
      <c r="G51" s="755"/>
      <c r="H51" s="756"/>
      <c r="I51" s="54">
        <v>8.3299999999999999E-2</v>
      </c>
      <c r="J51" s="67">
        <f>$J$45*I51</f>
        <v>151.72187029999998</v>
      </c>
      <c r="K51" s="29"/>
      <c r="L51" s="30"/>
    </row>
    <row r="52" spans="1:13" s="17" customFormat="1" ht="14.25" thickTop="1" thickBot="1">
      <c r="A52" s="214" t="s">
        <v>8</v>
      </c>
      <c r="B52" s="754" t="s">
        <v>172</v>
      </c>
      <c r="C52" s="755"/>
      <c r="D52" s="755"/>
      <c r="E52" s="755"/>
      <c r="F52" s="755"/>
      <c r="G52" s="755"/>
      <c r="H52" s="756"/>
      <c r="I52" s="54">
        <v>8.3299999999999999E-2</v>
      </c>
      <c r="J52" s="67">
        <f>I52*J45</f>
        <v>151.72187029999998</v>
      </c>
      <c r="K52" s="29"/>
      <c r="L52" s="30"/>
    </row>
    <row r="53" spans="1:13" s="17" customFormat="1" ht="14.25" thickTop="1" thickBot="1">
      <c r="A53" s="214" t="s">
        <v>9</v>
      </c>
      <c r="B53" s="754" t="s">
        <v>174</v>
      </c>
      <c r="C53" s="755"/>
      <c r="D53" s="755"/>
      <c r="E53" s="755"/>
      <c r="F53" s="755"/>
      <c r="G53" s="755"/>
      <c r="H53" s="756"/>
      <c r="I53" s="55">
        <v>3.7699999999999997E-2</v>
      </c>
      <c r="J53" s="67">
        <f>(J45*33.33%)*I53</f>
        <v>22.886524685309993</v>
      </c>
      <c r="K53" s="124"/>
      <c r="L53" s="30"/>
    </row>
    <row r="54" spans="1:13" s="17" customFormat="1" ht="14.25" thickTop="1" thickBot="1">
      <c r="A54" s="808" t="s">
        <v>43</v>
      </c>
      <c r="B54" s="801"/>
      <c r="C54" s="801"/>
      <c r="D54" s="801"/>
      <c r="E54" s="801"/>
      <c r="F54" s="801"/>
      <c r="G54" s="801"/>
      <c r="H54" s="802"/>
      <c r="I54" s="63">
        <f>SUM(I51:I53)</f>
        <v>0.20429999999999998</v>
      </c>
      <c r="J54" s="68">
        <f>SUM(J51:J53)</f>
        <v>326.33026528530996</v>
      </c>
      <c r="K54" s="29"/>
      <c r="L54" s="31"/>
    </row>
    <row r="55" spans="1:13" s="17" customFormat="1" ht="14.25" thickTop="1" thickBot="1">
      <c r="A55" s="809"/>
      <c r="B55" s="762"/>
      <c r="C55" s="762"/>
      <c r="D55" s="762"/>
      <c r="E55" s="762"/>
      <c r="F55" s="762"/>
      <c r="G55" s="762"/>
      <c r="H55" s="762"/>
      <c r="I55" s="762"/>
      <c r="J55" s="810"/>
      <c r="K55" s="29"/>
      <c r="L55" s="31"/>
    </row>
    <row r="56" spans="1:13" s="17" customFormat="1" ht="14.25" thickTop="1" thickBot="1">
      <c r="A56" s="759" t="s">
        <v>48</v>
      </c>
      <c r="B56" s="801"/>
      <c r="C56" s="801"/>
      <c r="D56" s="801"/>
      <c r="E56" s="801"/>
      <c r="F56" s="801"/>
      <c r="G56" s="801"/>
      <c r="H56" s="802"/>
      <c r="I56" s="62" t="s">
        <v>3</v>
      </c>
      <c r="J56" s="62" t="s">
        <v>1</v>
      </c>
      <c r="K56" s="29"/>
      <c r="L56" s="31"/>
    </row>
    <row r="57" spans="1:13" s="17" customFormat="1" ht="14.25" thickTop="1" thickBot="1">
      <c r="A57" s="217" t="s">
        <v>7</v>
      </c>
      <c r="B57" s="805" t="s">
        <v>84</v>
      </c>
      <c r="C57" s="806"/>
      <c r="D57" s="806"/>
      <c r="E57" s="806"/>
      <c r="F57" s="806"/>
      <c r="G57" s="806"/>
      <c r="H57" s="807"/>
      <c r="I57" s="56">
        <v>0.2</v>
      </c>
      <c r="J57" s="64">
        <f>I57*(J54+J45)</f>
        <v>429.54425305706201</v>
      </c>
      <c r="K57" s="29"/>
      <c r="L57" s="31"/>
    </row>
    <row r="58" spans="1:13" s="17" customFormat="1" ht="14.25" customHeight="1" thickTop="1" thickBot="1">
      <c r="A58" s="217" t="s">
        <v>8</v>
      </c>
      <c r="B58" s="805" t="s">
        <v>85</v>
      </c>
      <c r="C58" s="806"/>
      <c r="D58" s="806"/>
      <c r="E58" s="806"/>
      <c r="F58" s="806"/>
      <c r="G58" s="806"/>
      <c r="H58" s="807"/>
      <c r="I58" s="56">
        <v>2.5000000000000001E-2</v>
      </c>
      <c r="J58" s="65">
        <f>I58*(J54+J45)</f>
        <v>53.693031632132751</v>
      </c>
      <c r="K58" s="29"/>
      <c r="L58" s="31"/>
    </row>
    <row r="59" spans="1:13" s="17" customFormat="1" ht="19.5" customHeight="1" thickTop="1" thickBot="1">
      <c r="A59" s="217" t="s">
        <v>9</v>
      </c>
      <c r="B59" s="796" t="s">
        <v>166</v>
      </c>
      <c r="C59" s="797"/>
      <c r="D59" s="797"/>
      <c r="E59" s="797"/>
      <c r="F59" s="797"/>
      <c r="G59" s="797"/>
      <c r="H59" s="798"/>
      <c r="I59" s="59">
        <v>0.03</v>
      </c>
      <c r="J59" s="65">
        <f>I59*(J54+J45)</f>
        <v>64.431637958559293</v>
      </c>
      <c r="K59" s="29"/>
      <c r="L59" s="32"/>
    </row>
    <row r="60" spans="1:13" s="17" customFormat="1" ht="14.25" customHeight="1" thickTop="1" thickBot="1">
      <c r="A60" s="217" t="s">
        <v>10</v>
      </c>
      <c r="B60" s="805" t="s">
        <v>45</v>
      </c>
      <c r="C60" s="806"/>
      <c r="D60" s="806"/>
      <c r="E60" s="806"/>
      <c r="F60" s="806"/>
      <c r="G60" s="806"/>
      <c r="H60" s="807"/>
      <c r="I60" s="59">
        <v>7.4999999999999997E-3</v>
      </c>
      <c r="J60" s="65">
        <f>I60*(J54+J45)</f>
        <v>16.107909489639823</v>
      </c>
      <c r="K60" s="29"/>
      <c r="L60" s="31"/>
    </row>
    <row r="61" spans="1:13" s="17" customFormat="1" ht="14.25" customHeight="1" thickTop="1" thickBot="1">
      <c r="A61" s="217" t="s">
        <v>11</v>
      </c>
      <c r="B61" s="805" t="s">
        <v>86</v>
      </c>
      <c r="C61" s="806"/>
      <c r="D61" s="806"/>
      <c r="E61" s="806"/>
      <c r="F61" s="806"/>
      <c r="G61" s="806"/>
      <c r="H61" s="807"/>
      <c r="I61" s="59">
        <v>5.0000000000000001E-3</v>
      </c>
      <c r="J61" s="65">
        <f>I61*(J54+J46)</f>
        <v>10.738606326426551</v>
      </c>
      <c r="K61" s="29"/>
      <c r="L61" s="31"/>
    </row>
    <row r="62" spans="1:13" s="17" customFormat="1" ht="14.25" thickTop="1" thickBot="1">
      <c r="A62" s="217" t="s">
        <v>12</v>
      </c>
      <c r="B62" s="796" t="s">
        <v>87</v>
      </c>
      <c r="C62" s="797"/>
      <c r="D62" s="797"/>
      <c r="E62" s="797"/>
      <c r="F62" s="797"/>
      <c r="G62" s="797"/>
      <c r="H62" s="798"/>
      <c r="I62" s="59">
        <v>6.0000000000000001E-3</v>
      </c>
      <c r="J62" s="65">
        <f>I62*(J54+J45)</f>
        <v>12.88632759171186</v>
      </c>
      <c r="K62" s="29"/>
      <c r="L62" s="31"/>
    </row>
    <row r="63" spans="1:13" s="17" customFormat="1" ht="14.25" thickTop="1" thickBot="1">
      <c r="A63" s="217" t="s">
        <v>13</v>
      </c>
      <c r="B63" s="796" t="s">
        <v>88</v>
      </c>
      <c r="C63" s="797"/>
      <c r="D63" s="797"/>
      <c r="E63" s="797"/>
      <c r="F63" s="797"/>
      <c r="G63" s="797"/>
      <c r="H63" s="798"/>
      <c r="I63" s="59">
        <v>2E-3</v>
      </c>
      <c r="J63" s="65">
        <f>I63*(J54+J45)</f>
        <v>4.2954425305706199</v>
      </c>
      <c r="K63" s="29"/>
      <c r="L63" s="31"/>
    </row>
    <row r="64" spans="1:13" s="17" customFormat="1" ht="14.25" thickTop="1" thickBot="1">
      <c r="A64" s="217" t="s">
        <v>14</v>
      </c>
      <c r="B64" s="796" t="s">
        <v>89</v>
      </c>
      <c r="C64" s="797"/>
      <c r="D64" s="797"/>
      <c r="E64" s="797"/>
      <c r="F64" s="797"/>
      <c r="G64" s="797"/>
      <c r="H64" s="798"/>
      <c r="I64" s="59">
        <v>0.08</v>
      </c>
      <c r="J64" s="65">
        <f>I64*(J54+J45)</f>
        <v>171.81770122282481</v>
      </c>
      <c r="K64" s="29"/>
      <c r="L64" s="31"/>
    </row>
    <row r="65" spans="1:19" s="17" customFormat="1" ht="14.25" thickTop="1" thickBot="1">
      <c r="A65" s="759" t="s">
        <v>46</v>
      </c>
      <c r="B65" s="760"/>
      <c r="C65" s="760"/>
      <c r="D65" s="760"/>
      <c r="E65" s="760"/>
      <c r="F65" s="760"/>
      <c r="G65" s="760"/>
      <c r="H65" s="761"/>
      <c r="I65" s="61">
        <f>SUM(I57:I64)</f>
        <v>0.35550000000000004</v>
      </c>
      <c r="J65" s="66">
        <f>TRUNC(SUM(J57:J64),2)</f>
        <v>763.51</v>
      </c>
      <c r="K65" s="29"/>
      <c r="L65" s="31"/>
    </row>
    <row r="66" spans="1:19" s="17" customFormat="1" ht="14.25" thickTop="1" thickBot="1">
      <c r="B66" s="799"/>
      <c r="C66" s="799"/>
      <c r="D66" s="799"/>
      <c r="E66" s="799"/>
      <c r="F66" s="799"/>
      <c r="G66" s="799"/>
      <c r="H66" s="799"/>
      <c r="I66" s="799"/>
      <c r="J66" s="800"/>
      <c r="K66" s="29"/>
      <c r="L66" s="31"/>
    </row>
    <row r="67" spans="1:19" s="17" customFormat="1" ht="14.25" thickTop="1" thickBot="1">
      <c r="A67" s="759" t="s">
        <v>49</v>
      </c>
      <c r="B67" s="760"/>
      <c r="C67" s="760"/>
      <c r="D67" s="760"/>
      <c r="E67" s="801"/>
      <c r="F67" s="801"/>
      <c r="G67" s="801"/>
      <c r="H67" s="802"/>
      <c r="I67" s="803" t="s">
        <v>1</v>
      </c>
      <c r="J67" s="804"/>
      <c r="K67" s="29"/>
      <c r="L67" s="31"/>
    </row>
    <row r="68" spans="1:19" s="17" customFormat="1" ht="13.5" customHeight="1" thickTop="1" thickBot="1">
      <c r="A68" s="786" t="s">
        <v>7</v>
      </c>
      <c r="B68" s="788" t="s">
        <v>113</v>
      </c>
      <c r="C68" s="789"/>
      <c r="D68" s="789"/>
      <c r="E68" s="69" t="s">
        <v>90</v>
      </c>
      <c r="F68" s="69" t="s">
        <v>91</v>
      </c>
      <c r="G68" s="69" t="s">
        <v>92</v>
      </c>
      <c r="H68" s="69" t="s">
        <v>93</v>
      </c>
      <c r="I68" s="792"/>
      <c r="J68" s="794">
        <f>(E69*F69*G69)-(J37*H69)/2</f>
        <v>65.9679</v>
      </c>
      <c r="K68" s="29"/>
      <c r="L68" s="30"/>
    </row>
    <row r="69" spans="1:19" s="17" customFormat="1" ht="14.25" thickTop="1" thickBot="1">
      <c r="A69" s="787"/>
      <c r="B69" s="790"/>
      <c r="C69" s="791"/>
      <c r="D69" s="791"/>
      <c r="E69" s="70">
        <v>3.6</v>
      </c>
      <c r="F69" s="71">
        <v>2</v>
      </c>
      <c r="G69" s="71">
        <v>15</v>
      </c>
      <c r="H69" s="72">
        <v>0.06</v>
      </c>
      <c r="I69" s="793"/>
      <c r="J69" s="795"/>
      <c r="K69" s="29"/>
      <c r="L69" s="31"/>
      <c r="Q69" s="131">
        <f>E69*F69*G69</f>
        <v>108</v>
      </c>
      <c r="R69" s="132">
        <f>J37*6%/2</f>
        <v>42.0321</v>
      </c>
      <c r="S69" s="131">
        <f>Q69-R69</f>
        <v>65.9679</v>
      </c>
    </row>
    <row r="70" spans="1:19" s="17" customFormat="1" ht="12.75" customHeight="1" thickTop="1" thickBot="1">
      <c r="A70" s="73" t="s">
        <v>8</v>
      </c>
      <c r="B70" s="777" t="s">
        <v>173</v>
      </c>
      <c r="C70" s="777"/>
      <c r="D70" s="777"/>
      <c r="E70" s="777"/>
      <c r="F70" s="777"/>
      <c r="G70" s="777"/>
      <c r="H70" s="777"/>
      <c r="I70" s="74">
        <v>26</v>
      </c>
      <c r="J70" s="75">
        <f>(I70*15)*0.99</f>
        <v>386.1</v>
      </c>
      <c r="K70" s="29"/>
      <c r="L70" s="31"/>
    </row>
    <row r="71" spans="1:19" s="17" customFormat="1" ht="12.75" customHeight="1" thickTop="1" thickBot="1">
      <c r="A71" s="73" t="s">
        <v>9</v>
      </c>
      <c r="B71" s="777" t="s">
        <v>146</v>
      </c>
      <c r="C71" s="777"/>
      <c r="D71" s="777"/>
      <c r="E71" s="777"/>
      <c r="F71" s="777"/>
      <c r="G71" s="777"/>
      <c r="H71" s="777"/>
      <c r="I71" s="74">
        <v>2</v>
      </c>
      <c r="J71" s="75">
        <f>I71</f>
        <v>2</v>
      </c>
      <c r="K71" s="29"/>
      <c r="L71" s="31"/>
    </row>
    <row r="72" spans="1:19" s="17" customFormat="1" ht="14.25" thickTop="1" thickBot="1">
      <c r="A72" s="73" t="s">
        <v>10</v>
      </c>
      <c r="B72" s="776" t="s">
        <v>98</v>
      </c>
      <c r="C72" s="776"/>
      <c r="D72" s="776"/>
      <c r="E72" s="776"/>
      <c r="F72" s="776"/>
      <c r="G72" s="776"/>
      <c r="H72" s="776"/>
      <c r="I72" s="74">
        <v>0</v>
      </c>
      <c r="J72" s="75">
        <v>13.89</v>
      </c>
      <c r="K72" s="29"/>
      <c r="L72" s="31"/>
    </row>
    <row r="73" spans="1:19" s="17" customFormat="1" ht="12.75" customHeight="1" thickTop="1" thickBot="1">
      <c r="A73" s="73" t="s">
        <v>11</v>
      </c>
      <c r="B73" s="777" t="s">
        <v>175</v>
      </c>
      <c r="C73" s="777"/>
      <c r="D73" s="777"/>
      <c r="E73" s="777"/>
      <c r="F73" s="777"/>
      <c r="G73" s="777"/>
      <c r="H73" s="777"/>
      <c r="I73" s="74">
        <v>0</v>
      </c>
      <c r="J73" s="75">
        <f>I73*15</f>
        <v>0</v>
      </c>
      <c r="K73" s="27">
        <f>J46/220</f>
        <v>8.2790499999999998</v>
      </c>
      <c r="L73" s="31"/>
      <c r="Q73" s="25">
        <f>K73*1.5</f>
        <v>12.418575000000001</v>
      </c>
    </row>
    <row r="74" spans="1:19" s="17" customFormat="1" ht="14.25" thickTop="1" thickBot="1">
      <c r="A74" s="73" t="s">
        <v>12</v>
      </c>
      <c r="B74" s="778" t="s">
        <v>179</v>
      </c>
      <c r="C74" s="779"/>
      <c r="D74" s="779"/>
      <c r="E74" s="779"/>
      <c r="F74" s="779"/>
      <c r="G74" s="779"/>
      <c r="H74" s="780"/>
      <c r="I74" s="74">
        <f>Q74</f>
        <v>16.5581</v>
      </c>
      <c r="J74" s="75">
        <f>I74</f>
        <v>16.5581</v>
      </c>
      <c r="K74" s="27">
        <f>J45/220</f>
        <v>8.2790499999999998</v>
      </c>
      <c r="L74" s="31"/>
      <c r="Q74" s="25">
        <f>K74*2</f>
        <v>16.5581</v>
      </c>
    </row>
    <row r="75" spans="1:19" s="17" customFormat="1" ht="14.25" thickTop="1" thickBot="1">
      <c r="A75" s="781" t="s">
        <v>50</v>
      </c>
      <c r="B75" s="782"/>
      <c r="C75" s="782"/>
      <c r="D75" s="782"/>
      <c r="E75" s="782"/>
      <c r="F75" s="782"/>
      <c r="G75" s="782"/>
      <c r="H75" s="782"/>
      <c r="I75" s="783"/>
      <c r="J75" s="75">
        <f>TRUNC(SUM(J68:J74),2)</f>
        <v>484.51</v>
      </c>
      <c r="K75" s="29"/>
      <c r="L75" s="31"/>
    </row>
    <row r="76" spans="1:19" s="17" customFormat="1" ht="14.25" thickTop="1" thickBot="1">
      <c r="A76" s="29"/>
      <c r="B76" s="784"/>
      <c r="C76" s="784"/>
      <c r="D76" s="784"/>
      <c r="E76" s="784"/>
      <c r="F76" s="784"/>
      <c r="G76" s="784"/>
      <c r="H76" s="784"/>
      <c r="I76" s="784"/>
      <c r="J76" s="784"/>
      <c r="K76" s="29"/>
      <c r="L76" s="31"/>
    </row>
    <row r="77" spans="1:19" s="17" customFormat="1" ht="14.25" thickTop="1" thickBot="1">
      <c r="A77" s="725" t="s">
        <v>51</v>
      </c>
      <c r="B77" s="726"/>
      <c r="C77" s="726"/>
      <c r="D77" s="726"/>
      <c r="E77" s="726"/>
      <c r="F77" s="726"/>
      <c r="G77" s="726"/>
      <c r="H77" s="726"/>
      <c r="I77" s="726"/>
      <c r="J77" s="785"/>
      <c r="K77" s="29"/>
      <c r="L77" s="31"/>
    </row>
    <row r="78" spans="1:19" s="17" customFormat="1" ht="14.25" thickTop="1" thickBot="1">
      <c r="A78" s="725" t="s">
        <v>55</v>
      </c>
      <c r="B78" s="726"/>
      <c r="C78" s="726"/>
      <c r="D78" s="726"/>
      <c r="E78" s="726"/>
      <c r="F78" s="726"/>
      <c r="G78" s="726"/>
      <c r="H78" s="726"/>
      <c r="I78" s="727"/>
      <c r="J78" s="216" t="s">
        <v>1</v>
      </c>
      <c r="K78" s="29"/>
      <c r="L78" s="31"/>
    </row>
    <row r="79" spans="1:19" s="17" customFormat="1" ht="14.25" thickTop="1" thickBot="1">
      <c r="A79" s="210" t="s">
        <v>52</v>
      </c>
      <c r="B79" s="723" t="s">
        <v>42</v>
      </c>
      <c r="C79" s="724"/>
      <c r="D79" s="724"/>
      <c r="E79" s="724"/>
      <c r="F79" s="724"/>
      <c r="G79" s="724"/>
      <c r="H79" s="724"/>
      <c r="I79" s="724"/>
      <c r="J79" s="58">
        <f>J54</f>
        <v>326.33026528530996</v>
      </c>
      <c r="K79" s="29"/>
      <c r="L79" s="31"/>
    </row>
    <row r="80" spans="1:19" s="17" customFormat="1" ht="14.25" thickTop="1" thickBot="1">
      <c r="A80" s="77" t="s">
        <v>53</v>
      </c>
      <c r="B80" s="723" t="s">
        <v>44</v>
      </c>
      <c r="C80" s="724"/>
      <c r="D80" s="724"/>
      <c r="E80" s="724"/>
      <c r="F80" s="724"/>
      <c r="G80" s="724"/>
      <c r="H80" s="724"/>
      <c r="I80" s="724"/>
      <c r="J80" s="78">
        <f>J65</f>
        <v>763.51</v>
      </c>
      <c r="K80" s="29"/>
      <c r="L80" s="31"/>
    </row>
    <row r="81" spans="1:12" s="17" customFormat="1" ht="14.25" thickTop="1" thickBot="1">
      <c r="A81" s="77" t="s">
        <v>54</v>
      </c>
      <c r="B81" s="747" t="s">
        <v>56</v>
      </c>
      <c r="C81" s="748"/>
      <c r="D81" s="748"/>
      <c r="E81" s="748"/>
      <c r="F81" s="748"/>
      <c r="G81" s="748"/>
      <c r="H81" s="748"/>
      <c r="I81" s="748"/>
      <c r="J81" s="78">
        <f>J75</f>
        <v>484.51</v>
      </c>
      <c r="K81" s="29"/>
      <c r="L81" s="31"/>
    </row>
    <row r="82" spans="1:12" s="17" customFormat="1" ht="14.25" thickTop="1" thickBot="1">
      <c r="A82" s="76"/>
      <c r="B82" s="773" t="s">
        <v>58</v>
      </c>
      <c r="C82" s="774"/>
      <c r="D82" s="774"/>
      <c r="E82" s="774"/>
      <c r="F82" s="774"/>
      <c r="G82" s="774"/>
      <c r="H82" s="774"/>
      <c r="I82" s="775"/>
      <c r="J82" s="129">
        <f>TRUNC(SUM(J79:J81),2)</f>
        <v>1574.35</v>
      </c>
      <c r="K82" s="29"/>
      <c r="L82" s="31"/>
    </row>
    <row r="83" spans="1:12" s="17" customFormat="1" ht="14.25" thickTop="1" thickBot="1">
      <c r="A83" s="750" t="s">
        <v>59</v>
      </c>
      <c r="B83" s="751"/>
      <c r="C83" s="751"/>
      <c r="D83" s="751"/>
      <c r="E83" s="751"/>
      <c r="F83" s="751"/>
      <c r="G83" s="751"/>
      <c r="H83" s="751"/>
      <c r="I83" s="751"/>
      <c r="J83" s="752"/>
      <c r="K83" s="29"/>
    </row>
    <row r="84" spans="1:12" s="17" customFormat="1" ht="14.25" thickTop="1" thickBot="1">
      <c r="A84" s="80">
        <v>3</v>
      </c>
      <c r="B84" s="744" t="s">
        <v>60</v>
      </c>
      <c r="C84" s="745"/>
      <c r="D84" s="745"/>
      <c r="E84" s="745"/>
      <c r="F84" s="745"/>
      <c r="G84" s="745"/>
      <c r="H84" s="745"/>
      <c r="I84" s="216" t="s">
        <v>3</v>
      </c>
      <c r="J84" s="218" t="s">
        <v>1</v>
      </c>
      <c r="K84" s="29"/>
    </row>
    <row r="85" spans="1:12" s="17" customFormat="1" ht="14.25" thickTop="1" thickBot="1">
      <c r="A85" s="80" t="s">
        <v>7</v>
      </c>
      <c r="B85" s="767" t="s">
        <v>101</v>
      </c>
      <c r="C85" s="768"/>
      <c r="D85" s="768"/>
      <c r="E85" s="768"/>
      <c r="F85" s="768"/>
      <c r="G85" s="768"/>
      <c r="H85" s="769"/>
      <c r="I85" s="81">
        <v>4.4999999999999997E-3</v>
      </c>
      <c r="J85" s="82">
        <f>J46*I85</f>
        <v>8.1962594999999983</v>
      </c>
      <c r="K85" s="29"/>
      <c r="L85" s="33"/>
    </row>
    <row r="86" spans="1:12" s="17" customFormat="1" ht="14.25" thickTop="1" thickBot="1">
      <c r="A86" s="80" t="s">
        <v>8</v>
      </c>
      <c r="B86" s="723" t="s">
        <v>102</v>
      </c>
      <c r="C86" s="724"/>
      <c r="D86" s="724"/>
      <c r="E86" s="724"/>
      <c r="F86" s="724"/>
      <c r="G86" s="724"/>
      <c r="H86" s="728"/>
      <c r="I86" s="81">
        <f>I85*I64</f>
        <v>3.5999999999999997E-4</v>
      </c>
      <c r="J86" s="57">
        <f>I86*J46</f>
        <v>0.65570075999999988</v>
      </c>
      <c r="K86" s="29"/>
      <c r="L86" s="31"/>
    </row>
    <row r="87" spans="1:12" s="17" customFormat="1" ht="14.25" thickTop="1" thickBot="1">
      <c r="A87" s="80" t="s">
        <v>9</v>
      </c>
      <c r="B87" s="767" t="s">
        <v>103</v>
      </c>
      <c r="C87" s="768"/>
      <c r="D87" s="768"/>
      <c r="E87" s="768"/>
      <c r="F87" s="768"/>
      <c r="G87" s="768"/>
      <c r="H87" s="769"/>
      <c r="I87" s="81">
        <v>0.02</v>
      </c>
      <c r="J87" s="57">
        <f>I87*J45</f>
        <v>36.427819999999997</v>
      </c>
      <c r="K87" s="29"/>
      <c r="L87" s="33"/>
    </row>
    <row r="88" spans="1:12" s="17" customFormat="1" ht="14.25" thickTop="1" thickBot="1">
      <c r="A88" s="80" t="s">
        <v>10</v>
      </c>
      <c r="B88" s="723" t="s">
        <v>104</v>
      </c>
      <c r="C88" s="724"/>
      <c r="D88" s="724"/>
      <c r="E88" s="724"/>
      <c r="F88" s="724"/>
      <c r="G88" s="724"/>
      <c r="H88" s="728"/>
      <c r="I88" s="44">
        <v>1.9400000000000001E-2</v>
      </c>
      <c r="J88" s="57">
        <f>I88*J45</f>
        <v>35.334985400000001</v>
      </c>
      <c r="K88" s="29"/>
      <c r="L88" s="31"/>
    </row>
    <row r="89" spans="1:12" s="17" customFormat="1" ht="14.25" thickTop="1" thickBot="1">
      <c r="A89" s="80" t="s">
        <v>11</v>
      </c>
      <c r="B89" s="723" t="s">
        <v>105</v>
      </c>
      <c r="C89" s="724"/>
      <c r="D89" s="724"/>
      <c r="E89" s="724"/>
      <c r="F89" s="724"/>
      <c r="G89" s="724"/>
      <c r="H89" s="728"/>
      <c r="I89" s="83">
        <f>I65*I88</f>
        <v>6.8967000000000013E-3</v>
      </c>
      <c r="J89" s="57">
        <f>I89*J45</f>
        <v>12.561587309700002</v>
      </c>
      <c r="K89" s="29"/>
      <c r="L89" s="31"/>
    </row>
    <row r="90" spans="1:12" s="17" customFormat="1" ht="14.25" thickTop="1" thickBot="1">
      <c r="A90" s="80" t="s">
        <v>12</v>
      </c>
      <c r="B90" s="767" t="s">
        <v>106</v>
      </c>
      <c r="C90" s="768"/>
      <c r="D90" s="768"/>
      <c r="E90" s="768"/>
      <c r="F90" s="768"/>
      <c r="G90" s="768"/>
      <c r="H90" s="769"/>
      <c r="I90" s="81">
        <v>0.02</v>
      </c>
      <c r="J90" s="57">
        <f>I90*J45</f>
        <v>36.427819999999997</v>
      </c>
      <c r="K90" s="29"/>
      <c r="L90" s="33"/>
    </row>
    <row r="91" spans="1:12" s="17" customFormat="1" ht="14.25" thickTop="1" thickBot="1">
      <c r="A91" s="725" t="s">
        <v>61</v>
      </c>
      <c r="B91" s="726"/>
      <c r="C91" s="726"/>
      <c r="D91" s="726"/>
      <c r="E91" s="726"/>
      <c r="F91" s="726"/>
      <c r="G91" s="726"/>
      <c r="H91" s="727"/>
      <c r="I91" s="84">
        <f>SUM(I85:I90)</f>
        <v>7.1156700000000003E-2</v>
      </c>
      <c r="J91" s="60">
        <f>TRUNC(SUM(J85:J90),2)</f>
        <v>129.6</v>
      </c>
      <c r="K91" s="29"/>
      <c r="L91" s="31"/>
    </row>
    <row r="92" spans="1:12" s="17" customFormat="1" ht="13.5" thickTop="1">
      <c r="B92" s="770"/>
      <c r="C92" s="721"/>
      <c r="D92" s="721"/>
      <c r="E92" s="721"/>
      <c r="F92" s="721"/>
      <c r="G92" s="721"/>
      <c r="H92" s="721"/>
      <c r="I92" s="721"/>
      <c r="J92" s="721"/>
      <c r="K92" s="29"/>
    </row>
    <row r="93" spans="1:12" s="17" customFormat="1" ht="13.5" thickBot="1">
      <c r="A93" s="771" t="s">
        <v>62</v>
      </c>
      <c r="B93" s="771"/>
      <c r="C93" s="771"/>
      <c r="D93" s="771"/>
      <c r="E93" s="771"/>
      <c r="F93" s="771"/>
      <c r="G93" s="771"/>
      <c r="H93" s="771"/>
      <c r="I93" s="771"/>
      <c r="J93" s="772"/>
      <c r="K93" s="29"/>
    </row>
    <row r="94" spans="1:12" s="17" customFormat="1" ht="14.25" thickTop="1" thickBot="1">
      <c r="A94" s="744" t="s">
        <v>63</v>
      </c>
      <c r="B94" s="745"/>
      <c r="C94" s="745"/>
      <c r="D94" s="745"/>
      <c r="E94" s="745"/>
      <c r="F94" s="745"/>
      <c r="G94" s="745"/>
      <c r="H94" s="746"/>
      <c r="I94" s="113" t="s">
        <v>3</v>
      </c>
      <c r="J94" s="85" t="s">
        <v>1</v>
      </c>
      <c r="K94" s="29"/>
    </row>
    <row r="95" spans="1:12" s="17" customFormat="1" ht="14.25" thickTop="1" thickBot="1">
      <c r="A95" s="216" t="s">
        <v>7</v>
      </c>
      <c r="B95" s="743" t="s">
        <v>180</v>
      </c>
      <c r="C95" s="743"/>
      <c r="D95" s="743"/>
      <c r="E95" s="743"/>
      <c r="F95" s="743"/>
      <c r="G95" s="743"/>
      <c r="H95" s="743"/>
      <c r="I95" s="156" t="e">
        <f>#REF!</f>
        <v>#REF!</v>
      </c>
      <c r="J95" s="58" t="e">
        <f>$J$45*I95</f>
        <v>#REF!</v>
      </c>
      <c r="K95" s="29"/>
      <c r="L95" s="31"/>
    </row>
    <row r="96" spans="1:12" s="17" customFormat="1" ht="14.25" thickTop="1" thickBot="1">
      <c r="A96" s="46" t="s">
        <v>8</v>
      </c>
      <c r="B96" s="743" t="s">
        <v>181</v>
      </c>
      <c r="C96" s="743"/>
      <c r="D96" s="743"/>
      <c r="E96" s="743"/>
      <c r="F96" s="743"/>
      <c r="G96" s="743"/>
      <c r="H96" s="743"/>
      <c r="I96" s="125">
        <v>4.4999999999999997E-3</v>
      </c>
      <c r="J96" s="78">
        <f t="shared" ref="J96:J100" si="0">$J$45*I96</f>
        <v>8.1962594999999983</v>
      </c>
      <c r="K96" s="29"/>
      <c r="L96" s="31"/>
    </row>
    <row r="97" spans="1:12" s="17" customFormat="1" ht="14.25" thickTop="1" thickBot="1">
      <c r="A97" s="46" t="s">
        <v>9</v>
      </c>
      <c r="B97" s="743" t="s">
        <v>182</v>
      </c>
      <c r="C97" s="743"/>
      <c r="D97" s="743"/>
      <c r="E97" s="743"/>
      <c r="F97" s="743"/>
      <c r="G97" s="743"/>
      <c r="H97" s="743"/>
      <c r="I97" s="125">
        <v>8.9999999999999998E-4</v>
      </c>
      <c r="J97" s="78">
        <f t="shared" si="0"/>
        <v>1.6392518999999999</v>
      </c>
      <c r="K97" s="29"/>
      <c r="L97" s="33"/>
    </row>
    <row r="98" spans="1:12" s="17" customFormat="1" ht="14.25" thickTop="1" thickBot="1">
      <c r="A98" s="46" t="s">
        <v>10</v>
      </c>
      <c r="B98" s="743" t="s">
        <v>183</v>
      </c>
      <c r="C98" s="743"/>
      <c r="D98" s="743"/>
      <c r="E98" s="743"/>
      <c r="F98" s="743"/>
      <c r="G98" s="743"/>
      <c r="H98" s="743"/>
      <c r="I98" s="125">
        <v>5.7000000000000002E-3</v>
      </c>
      <c r="J98" s="78">
        <f t="shared" si="0"/>
        <v>10.3819287</v>
      </c>
      <c r="K98" s="29"/>
      <c r="L98" s="33"/>
    </row>
    <row r="99" spans="1:12" s="17" customFormat="1" ht="14.25" thickTop="1" thickBot="1">
      <c r="A99" s="46" t="s">
        <v>11</v>
      </c>
      <c r="B99" s="743" t="s">
        <v>184</v>
      </c>
      <c r="C99" s="743"/>
      <c r="D99" s="743"/>
      <c r="E99" s="743"/>
      <c r="F99" s="743"/>
      <c r="G99" s="743"/>
      <c r="H99" s="743"/>
      <c r="I99" s="125">
        <v>2E-3</v>
      </c>
      <c r="J99" s="78">
        <f t="shared" si="0"/>
        <v>3.642782</v>
      </c>
      <c r="K99" s="29"/>
      <c r="L99" s="31"/>
    </row>
    <row r="100" spans="1:12" s="17" customFormat="1" ht="14.25" thickTop="1" thickBot="1">
      <c r="A100" s="46" t="s">
        <v>12</v>
      </c>
      <c r="B100" s="754" t="s">
        <v>165</v>
      </c>
      <c r="C100" s="755"/>
      <c r="D100" s="755"/>
      <c r="E100" s="755"/>
      <c r="F100" s="755"/>
      <c r="G100" s="755"/>
      <c r="H100" s="756"/>
      <c r="I100" s="125">
        <v>0</v>
      </c>
      <c r="J100" s="78">
        <f t="shared" si="0"/>
        <v>0</v>
      </c>
      <c r="K100" s="29"/>
      <c r="L100" s="31"/>
    </row>
    <row r="101" spans="1:12" s="17" customFormat="1" ht="14.25" thickTop="1" thickBot="1">
      <c r="A101" s="46"/>
      <c r="B101" s="753" t="s">
        <v>126</v>
      </c>
      <c r="C101" s="753"/>
      <c r="D101" s="753"/>
      <c r="E101" s="753"/>
      <c r="F101" s="753"/>
      <c r="G101" s="753"/>
      <c r="H101" s="753"/>
      <c r="I101" s="126" t="e">
        <f>SUM(I95:I100)</f>
        <v>#REF!</v>
      </c>
      <c r="J101" s="78" t="e">
        <f>SUM(J95:J100)</f>
        <v>#REF!</v>
      </c>
      <c r="K101" s="29"/>
      <c r="L101" s="31"/>
    </row>
    <row r="102" spans="1:12" s="17" customFormat="1" ht="13.5" customHeight="1" thickTop="1" thickBot="1">
      <c r="A102" s="219" t="s">
        <v>13</v>
      </c>
      <c r="B102" s="754" t="s">
        <v>165</v>
      </c>
      <c r="C102" s="755"/>
      <c r="D102" s="755"/>
      <c r="E102" s="755"/>
      <c r="F102" s="755"/>
      <c r="G102" s="755"/>
      <c r="H102" s="756"/>
      <c r="I102" s="87"/>
      <c r="J102" s="88"/>
      <c r="K102" s="29"/>
      <c r="L102" s="31"/>
    </row>
    <row r="103" spans="1:12" s="17" customFormat="1" ht="14.25" thickTop="1" thickBot="1">
      <c r="A103" s="763" t="s">
        <v>96</v>
      </c>
      <c r="B103" s="764"/>
      <c r="C103" s="764"/>
      <c r="D103" s="764"/>
      <c r="E103" s="764"/>
      <c r="F103" s="764"/>
      <c r="G103" s="764"/>
      <c r="H103" s="765"/>
      <c r="I103" s="91" t="e">
        <f>I101+I102</f>
        <v>#REF!</v>
      </c>
      <c r="J103" s="86" t="e">
        <f>J101+J102</f>
        <v>#REF!</v>
      </c>
      <c r="K103" s="29"/>
    </row>
    <row r="104" spans="1:12" s="17" customFormat="1" ht="14.25" thickTop="1" thickBot="1">
      <c r="A104" s="725" t="s">
        <v>17</v>
      </c>
      <c r="B104" s="726"/>
      <c r="C104" s="726"/>
      <c r="D104" s="726"/>
      <c r="E104" s="726"/>
      <c r="F104" s="726"/>
      <c r="G104" s="726"/>
      <c r="H104" s="726"/>
      <c r="I104" s="727"/>
      <c r="J104" s="90"/>
      <c r="K104" s="29"/>
    </row>
    <row r="105" spans="1:12" s="17" customFormat="1" ht="14.25" thickTop="1" thickBot="1">
      <c r="A105" s="766"/>
      <c r="B105" s="766"/>
      <c r="C105" s="766"/>
      <c r="D105" s="766"/>
      <c r="E105" s="766"/>
      <c r="F105" s="766"/>
      <c r="G105" s="766"/>
      <c r="H105" s="766"/>
      <c r="I105" s="766"/>
      <c r="J105" s="766"/>
      <c r="K105" s="29"/>
    </row>
    <row r="106" spans="1:12" s="17" customFormat="1" ht="14.25" thickTop="1" thickBot="1">
      <c r="A106" s="725" t="s">
        <v>65</v>
      </c>
      <c r="B106" s="726"/>
      <c r="C106" s="726"/>
      <c r="D106" s="726"/>
      <c r="E106" s="726"/>
      <c r="F106" s="726"/>
      <c r="G106" s="726"/>
      <c r="H106" s="726"/>
      <c r="I106" s="726"/>
      <c r="J106" s="727"/>
      <c r="K106" s="29"/>
    </row>
    <row r="107" spans="1:12" s="17" customFormat="1" ht="14.25" thickTop="1" thickBot="1">
      <c r="A107" s="763" t="s">
        <v>66</v>
      </c>
      <c r="B107" s="764"/>
      <c r="C107" s="764"/>
      <c r="D107" s="764"/>
      <c r="E107" s="764"/>
      <c r="F107" s="764"/>
      <c r="G107" s="764"/>
      <c r="H107" s="764"/>
      <c r="I107" s="765"/>
      <c r="J107" s="221" t="s">
        <v>1</v>
      </c>
      <c r="K107" s="29"/>
    </row>
    <row r="108" spans="1:12" s="17" customFormat="1" ht="14.25" thickTop="1" thickBot="1">
      <c r="A108" s="216" t="s">
        <v>19</v>
      </c>
      <c r="B108" s="202" t="s">
        <v>64</v>
      </c>
      <c r="C108" s="200"/>
      <c r="D108" s="201"/>
      <c r="E108" s="201"/>
      <c r="F108" s="201"/>
      <c r="G108" s="201"/>
      <c r="H108" s="201"/>
      <c r="I108" s="209"/>
      <c r="J108" s="58" t="e">
        <f>J103</f>
        <v>#REF!</v>
      </c>
      <c r="K108" s="29"/>
    </row>
    <row r="109" spans="1:12" s="17" customFormat="1" ht="14.25" thickTop="1" thickBot="1">
      <c r="A109" s="46" t="s">
        <v>20</v>
      </c>
      <c r="B109" s="754" t="s">
        <v>67</v>
      </c>
      <c r="C109" s="755"/>
      <c r="D109" s="755"/>
      <c r="E109" s="755"/>
      <c r="F109" s="755"/>
      <c r="G109" s="755"/>
      <c r="H109" s="755"/>
      <c r="I109" s="756"/>
      <c r="J109" s="130">
        <f>((J37+J38)/220)*1.5*15</f>
        <v>186.27862500000001</v>
      </c>
      <c r="K109" s="29"/>
    </row>
    <row r="110" spans="1:12" s="17" customFormat="1" ht="14.25" thickTop="1" thickBot="1">
      <c r="A110" s="757" t="s">
        <v>68</v>
      </c>
      <c r="B110" s="757"/>
      <c r="C110" s="757"/>
      <c r="D110" s="757"/>
      <c r="E110" s="757"/>
      <c r="F110" s="757"/>
      <c r="G110" s="757"/>
      <c r="H110" s="757"/>
      <c r="I110" s="758"/>
      <c r="J110" s="92" t="e">
        <f>TRUNC(SUM(J108:J109),2)</f>
        <v>#REF!</v>
      </c>
      <c r="K110" s="29"/>
    </row>
    <row r="111" spans="1:12" s="17" customFormat="1" ht="14.25" thickTop="1" thickBot="1">
      <c r="A111" s="759" t="s">
        <v>99</v>
      </c>
      <c r="B111" s="760"/>
      <c r="C111" s="760"/>
      <c r="D111" s="760"/>
      <c r="E111" s="760"/>
      <c r="F111" s="760"/>
      <c r="G111" s="760"/>
      <c r="H111" s="761"/>
      <c r="I111" s="93" t="e">
        <f>I103+I91+I65+I54</f>
        <v>#REF!</v>
      </c>
      <c r="J111" s="94" t="e">
        <f>J103+J91+J65+J54</f>
        <v>#REF!</v>
      </c>
      <c r="K111" s="29"/>
    </row>
    <row r="112" spans="1:12" s="17" customFormat="1" ht="14.25" thickTop="1" thickBot="1">
      <c r="A112" s="762"/>
      <c r="B112" s="762"/>
      <c r="C112" s="762"/>
      <c r="D112" s="762"/>
      <c r="E112" s="762"/>
      <c r="F112" s="762"/>
      <c r="G112" s="762"/>
      <c r="H112" s="762"/>
      <c r="I112" s="762"/>
      <c r="J112" s="762"/>
      <c r="K112" s="29"/>
    </row>
    <row r="113" spans="1:18" s="17" customFormat="1" ht="14.25" thickTop="1" thickBot="1">
      <c r="A113" s="750" t="s">
        <v>69</v>
      </c>
      <c r="B113" s="751"/>
      <c r="C113" s="751"/>
      <c r="D113" s="751"/>
      <c r="E113" s="751"/>
      <c r="F113" s="751"/>
      <c r="G113" s="751"/>
      <c r="H113" s="751"/>
      <c r="I113" s="751"/>
      <c r="J113" s="752"/>
      <c r="K113" s="29"/>
    </row>
    <row r="114" spans="1:18" s="17" customFormat="1" ht="14.25" thickTop="1" thickBot="1">
      <c r="A114" s="216">
        <v>5</v>
      </c>
      <c r="B114" s="203"/>
      <c r="C114" s="745" t="s">
        <v>16</v>
      </c>
      <c r="D114" s="745"/>
      <c r="E114" s="745"/>
      <c r="F114" s="745"/>
      <c r="G114" s="745"/>
      <c r="H114" s="745"/>
      <c r="I114" s="216"/>
      <c r="J114" s="216" t="s">
        <v>1</v>
      </c>
      <c r="K114" s="29"/>
    </row>
    <row r="115" spans="1:18" s="17" customFormat="1" ht="14.25" thickTop="1" thickBot="1">
      <c r="A115" s="216" t="s">
        <v>7</v>
      </c>
      <c r="B115" s="200" t="s">
        <v>107</v>
      </c>
      <c r="C115" s="201"/>
      <c r="D115" s="201"/>
      <c r="E115" s="201"/>
      <c r="F115" s="201"/>
      <c r="G115" s="201"/>
      <c r="H115" s="209"/>
      <c r="I115" s="217" t="s">
        <v>0</v>
      </c>
      <c r="J115" s="58">
        <f>'EQUIP-MAT '!F22</f>
        <v>68.366666666666674</v>
      </c>
      <c r="K115" s="29"/>
    </row>
    <row r="116" spans="1:18" s="17" customFormat="1" ht="14.25" thickTop="1" thickBot="1">
      <c r="A116" s="216" t="s">
        <v>8</v>
      </c>
      <c r="B116" s="200" t="s">
        <v>191</v>
      </c>
      <c r="C116" s="201"/>
      <c r="D116" s="201"/>
      <c r="E116" s="201"/>
      <c r="F116" s="201"/>
      <c r="G116" s="201"/>
      <c r="H116" s="209"/>
      <c r="I116" s="217" t="s">
        <v>0</v>
      </c>
      <c r="J116" s="58">
        <f>'EQUIP-MAT '!F32</f>
        <v>20.833333333333336</v>
      </c>
      <c r="K116" s="29"/>
    </row>
    <row r="117" spans="1:18" s="17" customFormat="1" ht="14.25" thickTop="1" thickBot="1">
      <c r="A117" s="95" t="s">
        <v>9</v>
      </c>
      <c r="B117" s="747" t="s">
        <v>192</v>
      </c>
      <c r="C117" s="748"/>
      <c r="D117" s="748"/>
      <c r="E117" s="748"/>
      <c r="F117" s="748"/>
      <c r="G117" s="748"/>
      <c r="H117" s="749"/>
      <c r="I117" s="217" t="s">
        <v>0</v>
      </c>
      <c r="J117" s="58">
        <v>0</v>
      </c>
      <c r="K117" s="29"/>
    </row>
    <row r="118" spans="1:18" s="17" customFormat="1" ht="14.25" thickTop="1" thickBot="1">
      <c r="A118" s="744" t="s">
        <v>70</v>
      </c>
      <c r="B118" s="745"/>
      <c r="C118" s="745"/>
      <c r="D118" s="745"/>
      <c r="E118" s="745"/>
      <c r="F118" s="745"/>
      <c r="G118" s="745"/>
      <c r="H118" s="746"/>
      <c r="I118" s="96" t="s">
        <v>0</v>
      </c>
      <c r="J118" s="60">
        <f>TRUNC(SUM(J115:J117),2)</f>
        <v>89.2</v>
      </c>
      <c r="K118" s="29"/>
    </row>
    <row r="119" spans="1:18" s="17" customFormat="1" ht="24" customHeight="1" thickTop="1" thickBot="1">
      <c r="A119" s="750" t="s">
        <v>71</v>
      </c>
      <c r="B119" s="751"/>
      <c r="C119" s="751"/>
      <c r="D119" s="751"/>
      <c r="E119" s="751"/>
      <c r="F119" s="751"/>
      <c r="G119" s="751"/>
      <c r="H119" s="751"/>
      <c r="I119" s="751"/>
      <c r="J119" s="752"/>
      <c r="K119" s="29"/>
    </row>
    <row r="120" spans="1:18" s="17" customFormat="1" ht="14.25" thickTop="1" thickBot="1">
      <c r="A120" s="216">
        <v>6</v>
      </c>
      <c r="B120" s="753" t="s">
        <v>18</v>
      </c>
      <c r="C120" s="753"/>
      <c r="D120" s="753"/>
      <c r="E120" s="753"/>
      <c r="F120" s="753"/>
      <c r="G120" s="753"/>
      <c r="H120" s="753"/>
      <c r="I120" s="216" t="s">
        <v>3</v>
      </c>
      <c r="J120" s="216" t="s">
        <v>1</v>
      </c>
      <c r="K120" s="29"/>
    </row>
    <row r="121" spans="1:18" s="17" customFormat="1" ht="14.25" thickTop="1" thickBot="1">
      <c r="A121" s="216" t="s">
        <v>7</v>
      </c>
      <c r="B121" s="743" t="s">
        <v>21</v>
      </c>
      <c r="C121" s="743"/>
      <c r="D121" s="743"/>
      <c r="E121" s="743"/>
      <c r="F121" s="743"/>
      <c r="G121" s="743"/>
      <c r="H121" s="743"/>
      <c r="I121" s="97">
        <v>2.6849999999999999E-2</v>
      </c>
      <c r="J121" s="58" t="e">
        <f>TRUNC(I121*J146,2)</f>
        <v>#REF!</v>
      </c>
      <c r="K121" s="29"/>
      <c r="Q121" s="16"/>
      <c r="R121" s="128"/>
    </row>
    <row r="122" spans="1:18" s="17" customFormat="1" ht="14.25" thickTop="1" thickBot="1">
      <c r="A122" s="46" t="s">
        <v>8</v>
      </c>
      <c r="B122" s="743" t="s">
        <v>4</v>
      </c>
      <c r="C122" s="743"/>
      <c r="D122" s="743"/>
      <c r="E122" s="743"/>
      <c r="F122" s="743"/>
      <c r="G122" s="743"/>
      <c r="H122" s="743"/>
      <c r="I122" s="97">
        <v>0.02</v>
      </c>
      <c r="J122" s="58" t="e">
        <f>TRUNC(I122*(J121+J146),2)</f>
        <v>#REF!</v>
      </c>
      <c r="Q122" s="16"/>
    </row>
    <row r="123" spans="1:18" s="17" customFormat="1" ht="14.25" thickTop="1" thickBot="1">
      <c r="A123" s="62" t="s">
        <v>9</v>
      </c>
      <c r="B123" s="742" t="s">
        <v>28</v>
      </c>
      <c r="C123" s="742"/>
      <c r="D123" s="742"/>
      <c r="E123" s="742"/>
      <c r="F123" s="742"/>
      <c r="G123" s="742"/>
      <c r="H123" s="742"/>
      <c r="I123" s="98"/>
      <c r="J123" s="99"/>
      <c r="K123" s="25"/>
    </row>
    <row r="124" spans="1:18" s="17" customFormat="1" ht="14.25" thickTop="1" thickBot="1">
      <c r="A124" s="46" t="s">
        <v>29</v>
      </c>
      <c r="B124" s="743" t="s">
        <v>82</v>
      </c>
      <c r="C124" s="743"/>
      <c r="D124" s="743"/>
      <c r="E124" s="743"/>
      <c r="F124" s="743"/>
      <c r="G124" s="743"/>
      <c r="H124" s="743"/>
      <c r="I124" s="100">
        <v>6.4999999999999997E-3</v>
      </c>
      <c r="J124" s="78" t="e">
        <f>TRUNC(I124*J135,2)</f>
        <v>#REF!</v>
      </c>
    </row>
    <row r="125" spans="1:18" s="17" customFormat="1" ht="14.25" thickTop="1" thickBot="1">
      <c r="A125" s="46" t="s">
        <v>29</v>
      </c>
      <c r="B125" s="743" t="s">
        <v>77</v>
      </c>
      <c r="C125" s="743"/>
      <c r="D125" s="743"/>
      <c r="E125" s="743"/>
      <c r="F125" s="743"/>
      <c r="G125" s="743"/>
      <c r="H125" s="743"/>
      <c r="I125" s="100">
        <v>0.03</v>
      </c>
      <c r="J125" s="78" t="e">
        <f>TRUNC(I125*J135,2)</f>
        <v>#REF!</v>
      </c>
      <c r="K125" s="228" t="e">
        <f>'RESUMO GERAL'!#REF!</f>
        <v>#REF!</v>
      </c>
      <c r="L125" s="16" t="e">
        <f>[1]RESUMO!#REF!</f>
        <v>#REF!</v>
      </c>
    </row>
    <row r="126" spans="1:18" s="17" customFormat="1" ht="14.25" thickTop="1" thickBot="1">
      <c r="A126" s="46" t="s">
        <v>30</v>
      </c>
      <c r="B126" s="743" t="s">
        <v>80</v>
      </c>
      <c r="C126" s="743"/>
      <c r="D126" s="743"/>
      <c r="E126" s="743"/>
      <c r="F126" s="743"/>
      <c r="G126" s="743"/>
      <c r="H126" s="743"/>
      <c r="I126" s="101" t="s">
        <v>79</v>
      </c>
      <c r="J126" s="78">
        <v>0</v>
      </c>
    </row>
    <row r="127" spans="1:18" s="17" customFormat="1" ht="14.25" thickTop="1" thickBot="1">
      <c r="A127" s="46" t="s">
        <v>31</v>
      </c>
      <c r="B127" s="743" t="s">
        <v>78</v>
      </c>
      <c r="C127" s="743"/>
      <c r="D127" s="743"/>
      <c r="E127" s="743"/>
      <c r="F127" s="743"/>
      <c r="G127" s="743"/>
      <c r="H127" s="743"/>
      <c r="I127" s="100">
        <v>0.05</v>
      </c>
      <c r="J127" s="78" t="e">
        <f>TRUNC(I127*J135,2)</f>
        <v>#REF!</v>
      </c>
    </row>
    <row r="128" spans="1:18" s="17" customFormat="1" ht="14.25" thickTop="1" thickBot="1">
      <c r="A128" s="744" t="s">
        <v>72</v>
      </c>
      <c r="B128" s="745"/>
      <c r="C128" s="745"/>
      <c r="D128" s="745"/>
      <c r="E128" s="745"/>
      <c r="F128" s="745"/>
      <c r="G128" s="745"/>
      <c r="H128" s="746"/>
      <c r="I128" s="208">
        <f>SUM(I121:I127)</f>
        <v>0.13335000000000002</v>
      </c>
      <c r="J128" s="79" t="e">
        <f>TRUNC(SUM(J121:J127),2)</f>
        <v>#REF!</v>
      </c>
      <c r="R128" s="127"/>
    </row>
    <row r="129" spans="1:12" s="17" customFormat="1" ht="14.25" thickTop="1" thickBot="1">
      <c r="B129" s="215"/>
      <c r="C129" s="734"/>
      <c r="D129" s="734"/>
      <c r="E129" s="734"/>
      <c r="F129" s="734"/>
      <c r="G129" s="734"/>
      <c r="H129" s="734"/>
      <c r="I129" s="734"/>
      <c r="J129" s="734"/>
    </row>
    <row r="130" spans="1:12" s="17" customFormat="1" ht="13.5" thickTop="1">
      <c r="A130" s="102" t="s">
        <v>32</v>
      </c>
      <c r="B130" s="213"/>
      <c r="C130" s="735" t="s">
        <v>33</v>
      </c>
      <c r="D130" s="735"/>
      <c r="E130" s="735"/>
      <c r="F130" s="735"/>
      <c r="G130" s="735"/>
      <c r="H130" s="736"/>
      <c r="I130" s="737">
        <f>TRUNC(I124+I125+I127,4)</f>
        <v>8.6499999999999994E-2</v>
      </c>
      <c r="J130" s="738"/>
    </row>
    <row r="131" spans="1:12" s="17" customFormat="1" ht="13.5" thickBot="1">
      <c r="A131" s="103"/>
      <c r="B131" s="148"/>
      <c r="C131" s="741">
        <v>100</v>
      </c>
      <c r="D131" s="732"/>
      <c r="E131" s="732"/>
      <c r="F131" s="732"/>
      <c r="G131" s="732"/>
      <c r="H131" s="733"/>
      <c r="I131" s="739"/>
      <c r="J131" s="740"/>
      <c r="L131" s="21"/>
    </row>
    <row r="132" spans="1:12" s="17" customFormat="1" ht="13.5" thickTop="1">
      <c r="A132" s="104"/>
      <c r="B132" s="105"/>
      <c r="C132" s="205"/>
      <c r="D132" s="205"/>
      <c r="E132" s="205"/>
      <c r="F132" s="205"/>
      <c r="G132" s="205"/>
      <c r="H132" s="206"/>
      <c r="I132" s="207"/>
      <c r="J132" s="106"/>
    </row>
    <row r="133" spans="1:12" s="17" customFormat="1" ht="13.5" thickBot="1">
      <c r="A133" s="103" t="s">
        <v>34</v>
      </c>
      <c r="B133" s="148"/>
      <c r="C133" s="732" t="s">
        <v>73</v>
      </c>
      <c r="D133" s="732"/>
      <c r="E133" s="732"/>
      <c r="F133" s="732"/>
      <c r="G133" s="732"/>
      <c r="H133" s="733"/>
      <c r="I133" s="208"/>
      <c r="J133" s="111" t="e">
        <f>TRUNC(J146+J121+J122,2)</f>
        <v>#REF!</v>
      </c>
      <c r="L133" s="34"/>
    </row>
    <row r="134" spans="1:12" s="17" customFormat="1" ht="13.5" thickTop="1">
      <c r="A134" s="102"/>
      <c r="B134" s="213"/>
      <c r="C134" s="205"/>
      <c r="D134" s="205"/>
      <c r="E134" s="205"/>
      <c r="F134" s="205"/>
      <c r="G134" s="205"/>
      <c r="H134" s="206"/>
      <c r="I134" s="207"/>
      <c r="J134" s="112"/>
    </row>
    <row r="135" spans="1:12" s="17" customFormat="1" ht="13.5" thickBot="1">
      <c r="A135" s="103" t="s">
        <v>35</v>
      </c>
      <c r="B135" s="148"/>
      <c r="C135" s="732" t="s">
        <v>36</v>
      </c>
      <c r="D135" s="732"/>
      <c r="E135" s="732"/>
      <c r="F135" s="732"/>
      <c r="G135" s="732"/>
      <c r="H135" s="733"/>
      <c r="I135" s="208"/>
      <c r="J135" s="111" t="e">
        <f>J133/(1-I130)</f>
        <v>#REF!</v>
      </c>
    </row>
    <row r="136" spans="1:12" s="17" customFormat="1" ht="13.5" thickTop="1">
      <c r="A136" s="212"/>
      <c r="B136" s="213"/>
      <c r="C136" s="205"/>
      <c r="D136" s="205"/>
      <c r="E136" s="205"/>
      <c r="F136" s="205"/>
      <c r="G136" s="205"/>
      <c r="H136" s="206"/>
      <c r="I136" s="207"/>
      <c r="J136" s="112"/>
    </row>
    <row r="137" spans="1:12" s="17" customFormat="1" ht="13.5" thickBot="1">
      <c r="B137" s="148"/>
      <c r="C137" s="732" t="s">
        <v>37</v>
      </c>
      <c r="D137" s="732"/>
      <c r="E137" s="732"/>
      <c r="F137" s="732"/>
      <c r="G137" s="732"/>
      <c r="H137" s="733"/>
      <c r="I137" s="208"/>
      <c r="J137" s="111" t="e">
        <f>TRUNC(J135-J133,2)</f>
        <v>#REF!</v>
      </c>
      <c r="L137" s="34"/>
    </row>
    <row r="138" spans="1:12" s="17" customFormat="1" ht="14.25" thickTop="1" thickBot="1">
      <c r="B138" s="215"/>
      <c r="C138" s="215"/>
      <c r="D138" s="215"/>
      <c r="E138" s="215"/>
      <c r="F138" s="215"/>
      <c r="G138" s="215"/>
      <c r="H138" s="215"/>
      <c r="I138" s="215"/>
      <c r="J138" s="35"/>
      <c r="L138" s="34"/>
    </row>
    <row r="139" spans="1:12" s="17" customFormat="1" ht="14.25" thickTop="1" thickBot="1">
      <c r="A139" s="725" t="s">
        <v>83</v>
      </c>
      <c r="B139" s="726"/>
      <c r="C139" s="726"/>
      <c r="D139" s="726"/>
      <c r="E139" s="726"/>
      <c r="F139" s="726"/>
      <c r="G139" s="726"/>
      <c r="H139" s="726"/>
      <c r="I139" s="726"/>
      <c r="J139" s="727"/>
    </row>
    <row r="140" spans="1:12" s="17" customFormat="1" ht="14.25" thickTop="1" thickBot="1">
      <c r="A140" s="721" t="s">
        <v>22</v>
      </c>
      <c r="B140" s="721"/>
      <c r="C140" s="721"/>
      <c r="D140" s="721"/>
      <c r="E140" s="721"/>
      <c r="F140" s="721"/>
      <c r="G140" s="721"/>
      <c r="H140" s="721"/>
      <c r="I140" s="721"/>
      <c r="J140" s="216" t="s">
        <v>1</v>
      </c>
      <c r="L140" s="21"/>
    </row>
    <row r="141" spans="1:12" s="17" customFormat="1" ht="14.25" thickTop="1" thickBot="1">
      <c r="A141" s="217" t="s">
        <v>7</v>
      </c>
      <c r="B141" s="723" t="str">
        <f>A35</f>
        <v>MÓDULO 1 - COMPOSIÇÃO DA REMUNERAÇÃO</v>
      </c>
      <c r="C141" s="724"/>
      <c r="D141" s="724"/>
      <c r="E141" s="724"/>
      <c r="F141" s="724"/>
      <c r="G141" s="724"/>
      <c r="H141" s="724"/>
      <c r="I141" s="724"/>
      <c r="J141" s="114">
        <f>J46</f>
        <v>1821.3909999999998</v>
      </c>
    </row>
    <row r="142" spans="1:12" s="17" customFormat="1" ht="14.25" thickTop="1" thickBot="1">
      <c r="A142" s="89" t="s">
        <v>8</v>
      </c>
      <c r="B142" s="723" t="str">
        <f>A49</f>
        <v>MÓDULO 2 – ENCARGOS E BENEFÍCIOS ANUAIS, MENSAIS E DIÁRIOS</v>
      </c>
      <c r="C142" s="724"/>
      <c r="D142" s="724"/>
      <c r="E142" s="724"/>
      <c r="F142" s="724"/>
      <c r="G142" s="724"/>
      <c r="H142" s="724"/>
      <c r="I142" s="724"/>
      <c r="J142" s="115">
        <f>J82</f>
        <v>1574.35</v>
      </c>
    </row>
    <row r="143" spans="1:12" s="17" customFormat="1" ht="14.25" thickTop="1" thickBot="1">
      <c r="A143" s="89" t="s">
        <v>9</v>
      </c>
      <c r="B143" s="723" t="str">
        <f>A83</f>
        <v>MÓDULO 3 – PROVISÃO PARA RESCISÃO</v>
      </c>
      <c r="C143" s="724"/>
      <c r="D143" s="724"/>
      <c r="E143" s="724"/>
      <c r="F143" s="724"/>
      <c r="G143" s="724"/>
      <c r="H143" s="724"/>
      <c r="I143" s="724"/>
      <c r="J143" s="115">
        <f>J91</f>
        <v>129.6</v>
      </c>
    </row>
    <row r="144" spans="1:12" s="17" customFormat="1" ht="14.25" thickTop="1" thickBot="1">
      <c r="A144" s="217" t="s">
        <v>10</v>
      </c>
      <c r="B144" s="723" t="str">
        <f>A93</f>
        <v>MÓDULO 4 – CUSTO DE REPOSIÇÃO DO PROFISSIONAL AUSENTE</v>
      </c>
      <c r="C144" s="724"/>
      <c r="D144" s="724"/>
      <c r="E144" s="724"/>
      <c r="F144" s="724"/>
      <c r="G144" s="724"/>
      <c r="H144" s="724"/>
      <c r="I144" s="724"/>
      <c r="J144" s="115" t="e">
        <f>J110</f>
        <v>#REF!</v>
      </c>
    </row>
    <row r="145" spans="1:17" s="17" customFormat="1" ht="14.25" thickTop="1" thickBot="1">
      <c r="A145" s="107" t="s">
        <v>11</v>
      </c>
      <c r="B145" s="723" t="str">
        <f>A113</f>
        <v>MÓDULO 5 – INSUMOS DIVERSOS</v>
      </c>
      <c r="C145" s="724"/>
      <c r="D145" s="724"/>
      <c r="E145" s="724"/>
      <c r="F145" s="724"/>
      <c r="G145" s="724"/>
      <c r="H145" s="724"/>
      <c r="I145" s="724"/>
      <c r="J145" s="115">
        <f>J118</f>
        <v>89.2</v>
      </c>
    </row>
    <row r="146" spans="1:17" s="17" customFormat="1" ht="14.25" thickTop="1" thickBot="1">
      <c r="A146" s="725" t="s">
        <v>74</v>
      </c>
      <c r="B146" s="726"/>
      <c r="C146" s="726"/>
      <c r="D146" s="726"/>
      <c r="E146" s="726"/>
      <c r="F146" s="726"/>
      <c r="G146" s="726"/>
      <c r="H146" s="726"/>
      <c r="I146" s="727"/>
      <c r="J146" s="116" t="e">
        <f>TRUNC(SUM(J141:J145),2)</f>
        <v>#REF!</v>
      </c>
    </row>
    <row r="147" spans="1:17" s="17" customFormat="1" ht="14.25" thickTop="1" thickBot="1">
      <c r="A147" s="217" t="s">
        <v>13</v>
      </c>
      <c r="B147" s="723" t="str">
        <f>A119</f>
        <v>MÓDULO 6 – CUSTOS INDIRETOS, TRIBUTOS E LUCRO</v>
      </c>
      <c r="C147" s="724"/>
      <c r="D147" s="724"/>
      <c r="E147" s="724"/>
      <c r="F147" s="724"/>
      <c r="G147" s="724"/>
      <c r="H147" s="724"/>
      <c r="I147" s="728"/>
      <c r="J147" s="114" t="e">
        <f>J128</f>
        <v>#REF!</v>
      </c>
    </row>
    <row r="148" spans="1:17" s="17" customFormat="1" ht="14.25" thickTop="1" thickBot="1">
      <c r="A148" s="729" t="s">
        <v>75</v>
      </c>
      <c r="B148" s="730"/>
      <c r="C148" s="730"/>
      <c r="D148" s="730"/>
      <c r="E148" s="730"/>
      <c r="F148" s="730"/>
      <c r="G148" s="730"/>
      <c r="H148" s="730"/>
      <c r="I148" s="731"/>
      <c r="J148" s="117" t="e">
        <f>(J146+J122+J121)/0.9135</f>
        <v>#REF!</v>
      </c>
      <c r="K148" s="16"/>
      <c r="L148" s="34">
        <v>4822.8100000000004</v>
      </c>
    </row>
    <row r="149" spans="1:17" s="17" customFormat="1" ht="14.25" thickTop="1" thickBot="1">
      <c r="A149" s="717" t="s">
        <v>100</v>
      </c>
      <c r="B149" s="718"/>
      <c r="C149" s="718"/>
      <c r="D149" s="718"/>
      <c r="E149" s="718"/>
      <c r="F149" s="718"/>
      <c r="G149" s="718"/>
      <c r="H149" s="718"/>
      <c r="I149" s="719"/>
      <c r="J149" s="117">
        <v>2</v>
      </c>
      <c r="L149" s="36">
        <v>7</v>
      </c>
    </row>
    <row r="150" spans="1:17" s="17" customFormat="1" ht="14.25" thickTop="1" thickBot="1">
      <c r="A150" s="717" t="s">
        <v>143</v>
      </c>
      <c r="B150" s="718"/>
      <c r="C150" s="718"/>
      <c r="D150" s="718"/>
      <c r="E150" s="718"/>
      <c r="F150" s="718"/>
      <c r="G150" s="718"/>
      <c r="H150" s="718"/>
      <c r="I150" s="719"/>
      <c r="J150" s="117" t="e">
        <f>J148*J149</f>
        <v>#REF!</v>
      </c>
      <c r="L150" s="34">
        <f>L148*L149</f>
        <v>33759.670000000006</v>
      </c>
    </row>
    <row r="151" spans="1:17" s="17" customFormat="1" ht="14.25" thickTop="1" thickBot="1">
      <c r="A151" s="717" t="s">
        <v>122</v>
      </c>
      <c r="B151" s="718"/>
      <c r="C151" s="718"/>
      <c r="D151" s="718"/>
      <c r="E151" s="718"/>
      <c r="F151" s="718"/>
      <c r="G151" s="718"/>
      <c r="H151" s="718"/>
      <c r="I151" s="719"/>
      <c r="J151" s="117">
        <v>1</v>
      </c>
      <c r="L151" s="34"/>
    </row>
    <row r="152" spans="1:17" s="17" customFormat="1" ht="14.25" thickTop="1" thickBot="1">
      <c r="A152" s="717" t="s">
        <v>144</v>
      </c>
      <c r="B152" s="718"/>
      <c r="C152" s="718"/>
      <c r="D152" s="718"/>
      <c r="E152" s="718"/>
      <c r="F152" s="718"/>
      <c r="G152" s="718"/>
      <c r="H152" s="718"/>
      <c r="I152" s="719"/>
      <c r="J152" s="117" t="e">
        <f>J150*J151</f>
        <v>#REF!</v>
      </c>
      <c r="L152" s="34"/>
    </row>
    <row r="153" spans="1:17" s="17" customFormat="1" ht="14.25" thickTop="1" thickBot="1">
      <c r="A153" s="717" t="s">
        <v>145</v>
      </c>
      <c r="B153" s="718"/>
      <c r="C153" s="718"/>
      <c r="D153" s="718"/>
      <c r="E153" s="718"/>
      <c r="F153" s="718"/>
      <c r="G153" s="718"/>
      <c r="H153" s="718"/>
      <c r="I153" s="719"/>
      <c r="J153" s="117" t="e">
        <f>J152*12</f>
        <v>#REF!</v>
      </c>
      <c r="L153" s="34">
        <f>L150*12</f>
        <v>405116.04000000004</v>
      </c>
    </row>
    <row r="154" spans="1:17" s="17" customFormat="1" ht="13.5" thickTop="1">
      <c r="A154" s="105"/>
      <c r="B154" s="108"/>
      <c r="C154" s="108"/>
      <c r="D154" s="108"/>
      <c r="E154" s="108"/>
      <c r="F154" s="108"/>
      <c r="G154" s="108"/>
      <c r="H154" s="108"/>
      <c r="I154" s="108"/>
      <c r="J154" s="109"/>
      <c r="Q154" s="25"/>
    </row>
    <row r="155" spans="1:17" s="17" customFormat="1" ht="15" customHeight="1">
      <c r="A155" s="720" t="s">
        <v>168</v>
      </c>
      <c r="B155" s="721"/>
      <c r="C155" s="721"/>
      <c r="D155" s="721"/>
      <c r="E155" s="721"/>
      <c r="F155" s="721"/>
      <c r="G155" s="721"/>
      <c r="H155" s="721"/>
      <c r="I155" s="721"/>
      <c r="J155" s="722"/>
    </row>
    <row r="156" spans="1:17" s="17" customFormat="1" ht="12.75">
      <c r="A156" s="720" t="s">
        <v>169</v>
      </c>
      <c r="B156" s="721"/>
      <c r="C156" s="721"/>
      <c r="D156" s="721"/>
      <c r="E156" s="721"/>
      <c r="F156" s="721"/>
      <c r="G156" s="721"/>
      <c r="H156" s="721"/>
      <c r="I156" s="721"/>
      <c r="J156" s="722"/>
    </row>
    <row r="157" spans="1:17" s="17" customFormat="1" ht="35.25" customHeight="1" thickBot="1">
      <c r="A157" s="110"/>
      <c r="B157" s="153"/>
      <c r="C157" s="153"/>
      <c r="D157" s="153"/>
      <c r="E157" s="153"/>
      <c r="F157" s="153"/>
      <c r="G157" s="153"/>
      <c r="H157" s="153"/>
      <c r="I157" s="153"/>
      <c r="J157" s="154"/>
    </row>
    <row r="158" spans="1:17" ht="15.75" thickTop="1"/>
  </sheetData>
  <mergeCells count="144">
    <mergeCell ref="A150:I150"/>
    <mergeCell ref="A151:I151"/>
    <mergeCell ref="A152:I152"/>
    <mergeCell ref="A153:I153"/>
    <mergeCell ref="A155:J155"/>
    <mergeCell ref="A156:J156"/>
    <mergeCell ref="B144:I144"/>
    <mergeCell ref="B145:I145"/>
    <mergeCell ref="A146:I146"/>
    <mergeCell ref="B147:I147"/>
    <mergeCell ref="A148:I148"/>
    <mergeCell ref="A149:I149"/>
    <mergeCell ref="C137:H137"/>
    <mergeCell ref="A139:J139"/>
    <mergeCell ref="A140:I140"/>
    <mergeCell ref="B141:I141"/>
    <mergeCell ref="B142:I142"/>
    <mergeCell ref="B143:I143"/>
    <mergeCell ref="C129:J129"/>
    <mergeCell ref="C130:H130"/>
    <mergeCell ref="I130:J131"/>
    <mergeCell ref="C131:H131"/>
    <mergeCell ref="C133:H133"/>
    <mergeCell ref="C135:H135"/>
    <mergeCell ref="B123:H123"/>
    <mergeCell ref="B124:H124"/>
    <mergeCell ref="B125:H125"/>
    <mergeCell ref="B126:H126"/>
    <mergeCell ref="B127:H127"/>
    <mergeCell ref="A128:H128"/>
    <mergeCell ref="B117:H117"/>
    <mergeCell ref="A118:H118"/>
    <mergeCell ref="A119:J119"/>
    <mergeCell ref="B120:H120"/>
    <mergeCell ref="B121:H121"/>
    <mergeCell ref="B122:H122"/>
    <mergeCell ref="B109:I109"/>
    <mergeCell ref="A110:I110"/>
    <mergeCell ref="A111:H111"/>
    <mergeCell ref="A112:J112"/>
    <mergeCell ref="A113:J113"/>
    <mergeCell ref="C114:H114"/>
    <mergeCell ref="B102:H102"/>
    <mergeCell ref="A103:H103"/>
    <mergeCell ref="A104:I104"/>
    <mergeCell ref="A105:J105"/>
    <mergeCell ref="A106:J106"/>
    <mergeCell ref="A107:I107"/>
    <mergeCell ref="B96:H96"/>
    <mergeCell ref="B97:H97"/>
    <mergeCell ref="B98:H98"/>
    <mergeCell ref="B99:H99"/>
    <mergeCell ref="B100:H100"/>
    <mergeCell ref="B101:H101"/>
    <mergeCell ref="B90:H90"/>
    <mergeCell ref="A91:H91"/>
    <mergeCell ref="B92:J92"/>
    <mergeCell ref="A93:J93"/>
    <mergeCell ref="A94:H94"/>
    <mergeCell ref="B95:H95"/>
    <mergeCell ref="B84:H84"/>
    <mergeCell ref="B85:H85"/>
    <mergeCell ref="B86:H86"/>
    <mergeCell ref="B87:H87"/>
    <mergeCell ref="B88:H88"/>
    <mergeCell ref="B89:H89"/>
    <mergeCell ref="A78:I78"/>
    <mergeCell ref="B79:I79"/>
    <mergeCell ref="B80:I80"/>
    <mergeCell ref="B81:I81"/>
    <mergeCell ref="B82:I82"/>
    <mergeCell ref="A83:J83"/>
    <mergeCell ref="B72:H72"/>
    <mergeCell ref="B73:H73"/>
    <mergeCell ref="B74:H74"/>
    <mergeCell ref="A75:I75"/>
    <mergeCell ref="B76:J76"/>
    <mergeCell ref="A77:J77"/>
    <mergeCell ref="A68:A69"/>
    <mergeCell ref="B68:D69"/>
    <mergeCell ref="I68:I69"/>
    <mergeCell ref="J68:J69"/>
    <mergeCell ref="B70:H70"/>
    <mergeCell ref="B71:H71"/>
    <mergeCell ref="B63:H63"/>
    <mergeCell ref="B64:H64"/>
    <mergeCell ref="A65:H65"/>
    <mergeCell ref="B66:J66"/>
    <mergeCell ref="A67:H67"/>
    <mergeCell ref="I67:J67"/>
    <mergeCell ref="B57:H57"/>
    <mergeCell ref="B58:H58"/>
    <mergeCell ref="B59:H59"/>
    <mergeCell ref="B60:H60"/>
    <mergeCell ref="B61:H61"/>
    <mergeCell ref="B62:H62"/>
    <mergeCell ref="B51:H51"/>
    <mergeCell ref="B52:H52"/>
    <mergeCell ref="B53:H53"/>
    <mergeCell ref="A54:H54"/>
    <mergeCell ref="A55:J55"/>
    <mergeCell ref="A56:H56"/>
    <mergeCell ref="C43:H43"/>
    <mergeCell ref="B44:H44"/>
    <mergeCell ref="A45:I45"/>
    <mergeCell ref="A46:I46"/>
    <mergeCell ref="A49:J49"/>
    <mergeCell ref="A50:H50"/>
    <mergeCell ref="B37:H37"/>
    <mergeCell ref="B38:H38"/>
    <mergeCell ref="B39:H39"/>
    <mergeCell ref="B40:H40"/>
    <mergeCell ref="C41:H41"/>
    <mergeCell ref="C42:H42"/>
    <mergeCell ref="B31:I31"/>
    <mergeCell ref="B32:I32"/>
    <mergeCell ref="B33:I33"/>
    <mergeCell ref="B34:J34"/>
    <mergeCell ref="A35:J35"/>
    <mergeCell ref="B36:H36"/>
    <mergeCell ref="A24:F24"/>
    <mergeCell ref="H24:J24"/>
    <mergeCell ref="A26:J26"/>
    <mergeCell ref="A28:J28"/>
    <mergeCell ref="B29:G29"/>
    <mergeCell ref="B30:I30"/>
    <mergeCell ref="G17:J17"/>
    <mergeCell ref="G18:J18"/>
    <mergeCell ref="G19:J19"/>
    <mergeCell ref="A21:J21"/>
    <mergeCell ref="A23:F23"/>
    <mergeCell ref="H23:J23"/>
    <mergeCell ref="G11:J11"/>
    <mergeCell ref="G12:J12"/>
    <mergeCell ref="G13:J13"/>
    <mergeCell ref="A14:J14"/>
    <mergeCell ref="A15:J15"/>
    <mergeCell ref="G16:J16"/>
    <mergeCell ref="A4:J4"/>
    <mergeCell ref="A6:J6"/>
    <mergeCell ref="A7:E7"/>
    <mergeCell ref="A8:J8"/>
    <mergeCell ref="A9:J9"/>
    <mergeCell ref="G10:J10"/>
  </mergeCells>
  <printOptions horizontalCentered="1" verticalCentered="1"/>
  <pageMargins left="0.51181102362204722" right="0.51181102362204722" top="7.874015748031496E-2" bottom="0.78740157480314965" header="0.31496062992125984" footer="0.31496062992125984"/>
  <pageSetup paperSize="9" scale="64" orientation="portrait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O28"/>
  <sheetViews>
    <sheetView topLeftCell="I1" zoomScale="150" zoomScaleNormal="150" workbookViewId="0">
      <selection activeCell="M6" sqref="M6:N8"/>
    </sheetView>
  </sheetViews>
  <sheetFormatPr defaultRowHeight="11.25"/>
  <cols>
    <col min="1" max="1" width="5.28515625" style="224" customWidth="1"/>
    <col min="2" max="2" width="5" style="133" customWidth="1"/>
    <col min="3" max="3" width="40.140625" style="133" customWidth="1"/>
    <col min="4" max="4" width="8.7109375" style="133" customWidth="1"/>
    <col min="5" max="5" width="7.42578125" style="133" customWidth="1"/>
    <col min="6" max="6" width="10" style="133" customWidth="1"/>
    <col min="7" max="7" width="8.140625" style="133" customWidth="1"/>
    <col min="8" max="8" width="6.85546875" style="133" customWidth="1"/>
    <col min="9" max="9" width="7.85546875" style="224" customWidth="1"/>
    <col min="10" max="10" width="11.28515625" style="133" customWidth="1"/>
    <col min="11" max="11" width="11.140625" style="133" customWidth="1"/>
    <col min="12" max="12" width="14" style="133" customWidth="1"/>
    <col min="13" max="13" width="26.140625" style="133" customWidth="1"/>
    <col min="14" max="14" width="9.140625" style="133"/>
    <col min="15" max="15" width="10.85546875" style="133" bestFit="1" customWidth="1"/>
    <col min="16" max="16384" width="9.140625" style="133"/>
  </cols>
  <sheetData>
    <row r="1" spans="1:14" ht="12" thickBot="1">
      <c r="A1" s="877" t="s">
        <v>149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</row>
    <row r="2" spans="1:14">
      <c r="A2" s="878" t="s">
        <v>193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80"/>
    </row>
    <row r="3" spans="1:14">
      <c r="A3" s="881"/>
      <c r="B3" s="882"/>
      <c r="C3" s="882"/>
      <c r="D3" s="882"/>
      <c r="E3" s="882"/>
      <c r="F3" s="882"/>
      <c r="G3" s="882"/>
      <c r="H3" s="882"/>
      <c r="I3" s="882"/>
      <c r="J3" s="882"/>
      <c r="K3" s="882"/>
      <c r="L3" s="883"/>
    </row>
    <row r="4" spans="1:14">
      <c r="A4" s="881"/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3"/>
    </row>
    <row r="5" spans="1:14">
      <c r="A5" s="143" t="s">
        <v>7</v>
      </c>
      <c r="B5" s="134" t="s">
        <v>8</v>
      </c>
      <c r="C5" s="134" t="s">
        <v>9</v>
      </c>
      <c r="D5" s="134" t="s">
        <v>10</v>
      </c>
      <c r="E5" s="134" t="s">
        <v>11</v>
      </c>
      <c r="F5" s="134" t="s">
        <v>12</v>
      </c>
      <c r="G5" s="134" t="s">
        <v>13</v>
      </c>
      <c r="H5" s="134" t="s">
        <v>14</v>
      </c>
      <c r="I5" s="134" t="s">
        <v>150</v>
      </c>
      <c r="J5" s="135" t="s">
        <v>151</v>
      </c>
      <c r="K5" s="135" t="s">
        <v>152</v>
      </c>
      <c r="L5" s="144" t="s">
        <v>153</v>
      </c>
    </row>
    <row r="6" spans="1:14" ht="33" customHeight="1">
      <c r="A6" s="145" t="s">
        <v>154</v>
      </c>
      <c r="B6" s="140" t="s">
        <v>142</v>
      </c>
      <c r="C6" s="140" t="s">
        <v>155</v>
      </c>
      <c r="D6" s="140" t="s">
        <v>156</v>
      </c>
      <c r="E6" s="150" t="s">
        <v>195</v>
      </c>
      <c r="F6" s="140" t="s">
        <v>170</v>
      </c>
      <c r="G6" s="140" t="s">
        <v>171</v>
      </c>
      <c r="H6" s="140" t="s">
        <v>157</v>
      </c>
      <c r="I6" s="185" t="s">
        <v>214</v>
      </c>
      <c r="J6" s="141" t="s">
        <v>158</v>
      </c>
      <c r="K6" s="142" t="s">
        <v>167</v>
      </c>
      <c r="L6" s="146" t="s">
        <v>161</v>
      </c>
      <c r="M6" s="184"/>
    </row>
    <row r="7" spans="1:14" ht="46.5" customHeight="1">
      <c r="A7" s="226">
        <v>1</v>
      </c>
      <c r="B7" s="225">
        <v>3</v>
      </c>
      <c r="C7" s="137" t="s">
        <v>198</v>
      </c>
      <c r="D7" s="136" t="s">
        <v>159</v>
      </c>
      <c r="E7" s="158" t="s">
        <v>194</v>
      </c>
      <c r="F7" s="136">
        <v>3</v>
      </c>
      <c r="G7" s="136">
        <v>2</v>
      </c>
      <c r="H7" s="136">
        <v>12</v>
      </c>
      <c r="I7" s="136" t="s">
        <v>212</v>
      </c>
      <c r="J7" s="138" t="e">
        <f>'12h DIU VIG ITEM 3'!J152</f>
        <v>#REF!</v>
      </c>
      <c r="K7" s="139" t="e">
        <f>J7*F7</f>
        <v>#REF!</v>
      </c>
      <c r="L7" s="147" t="e">
        <f>K7*12</f>
        <v>#REF!</v>
      </c>
      <c r="M7" s="160"/>
      <c r="N7" s="149"/>
    </row>
    <row r="8" spans="1:14" ht="13.5" customHeight="1" thickBot="1">
      <c r="A8" s="865" t="s">
        <v>218</v>
      </c>
      <c r="B8" s="866"/>
      <c r="C8" s="866"/>
      <c r="D8" s="866"/>
      <c r="E8" s="866"/>
      <c r="F8" s="866"/>
      <c r="G8" s="866"/>
      <c r="H8" s="866"/>
      <c r="I8" s="866"/>
      <c r="J8" s="867"/>
      <c r="K8" s="151" t="e">
        <f>K7</f>
        <v>#REF!</v>
      </c>
      <c r="L8" s="152" t="e">
        <f>L7</f>
        <v>#REF!</v>
      </c>
      <c r="M8" s="149"/>
    </row>
    <row r="10" spans="1:14" ht="12.75" customHeight="1">
      <c r="A10" s="868" t="s">
        <v>168</v>
      </c>
      <c r="B10" s="868"/>
      <c r="C10" s="868"/>
      <c r="D10" s="868"/>
      <c r="E10" s="868"/>
      <c r="F10" s="868"/>
      <c r="G10" s="868"/>
      <c r="H10" s="868"/>
      <c r="I10" s="868"/>
      <c r="J10" s="868"/>
      <c r="K10" s="868"/>
      <c r="L10" s="868"/>
      <c r="N10" s="227">
        <v>0.02</v>
      </c>
    </row>
    <row r="11" spans="1:14" ht="12.75" customHeight="1">
      <c r="A11" s="869" t="s">
        <v>169</v>
      </c>
      <c r="B11" s="869"/>
      <c r="C11" s="869"/>
      <c r="D11" s="869"/>
      <c r="E11" s="869"/>
      <c r="F11" s="869"/>
      <c r="G11" s="869"/>
      <c r="H11" s="869"/>
      <c r="I11" s="869"/>
      <c r="J11" s="869"/>
      <c r="K11" s="869"/>
      <c r="L11" s="869"/>
      <c r="N11" s="227">
        <v>1.37E-2</v>
      </c>
    </row>
    <row r="12" spans="1:14">
      <c r="L12" s="149"/>
    </row>
    <row r="13" spans="1:14">
      <c r="L13" s="149"/>
    </row>
    <row r="16" spans="1:14">
      <c r="L16" s="157"/>
    </row>
    <row r="18" spans="10:15" ht="13.5" customHeight="1" thickBot="1">
      <c r="J18" s="870"/>
      <c r="K18" s="870"/>
      <c r="L18" s="870"/>
      <c r="M18" s="870"/>
      <c r="O18" s="222"/>
    </row>
    <row r="19" spans="10:15" ht="12.75" customHeight="1">
      <c r="J19" s="871"/>
      <c r="K19" s="872"/>
      <c r="L19" s="188"/>
      <c r="M19" s="189"/>
      <c r="O19" s="222"/>
    </row>
    <row r="20" spans="10:15" ht="12.75">
      <c r="J20" s="863"/>
      <c r="K20" s="864"/>
      <c r="L20" s="190"/>
      <c r="M20" s="197"/>
      <c r="O20" s="223"/>
    </row>
    <row r="21" spans="10:15">
      <c r="J21" s="191"/>
      <c r="K21" s="192"/>
      <c r="L21" s="192"/>
      <c r="M21" s="193"/>
      <c r="O21" s="222"/>
    </row>
    <row r="22" spans="10:15" ht="12.75">
      <c r="J22" s="863"/>
      <c r="K22" s="864"/>
      <c r="L22" s="190"/>
      <c r="M22" s="197"/>
      <c r="O22" s="223"/>
    </row>
    <row r="23" spans="10:15">
      <c r="J23" s="191"/>
      <c r="K23" s="192"/>
      <c r="L23" s="192"/>
      <c r="M23" s="193"/>
      <c r="O23" s="222"/>
    </row>
    <row r="24" spans="10:15" ht="12.75">
      <c r="J24" s="863"/>
      <c r="K24" s="864"/>
      <c r="L24" s="190"/>
      <c r="M24" s="197"/>
      <c r="O24" s="223"/>
    </row>
    <row r="25" spans="10:15">
      <c r="J25" s="191"/>
      <c r="K25" s="192"/>
      <c r="L25" s="192"/>
      <c r="M25" s="193"/>
      <c r="O25" s="222"/>
    </row>
    <row r="26" spans="10:15">
      <c r="J26" s="191"/>
      <c r="K26" s="192"/>
      <c r="L26" s="192"/>
      <c r="M26" s="193"/>
      <c r="O26" s="222"/>
    </row>
    <row r="27" spans="10:15">
      <c r="J27" s="191"/>
      <c r="K27" s="192"/>
      <c r="L27" s="192"/>
      <c r="M27" s="193"/>
      <c r="O27" s="222"/>
    </row>
    <row r="28" spans="10:15" ht="12" thickBot="1">
      <c r="J28" s="194"/>
      <c r="K28" s="195"/>
      <c r="L28" s="195"/>
      <c r="M28" s="196"/>
      <c r="O28" s="223"/>
    </row>
  </sheetData>
  <mergeCells count="10">
    <mergeCell ref="A1:L1"/>
    <mergeCell ref="A2:L4"/>
    <mergeCell ref="J20:K20"/>
    <mergeCell ref="J22:K22"/>
    <mergeCell ref="J24:K24"/>
    <mergeCell ref="A8:J8"/>
    <mergeCell ref="A10:L10"/>
    <mergeCell ref="A11:L11"/>
    <mergeCell ref="J18:M18"/>
    <mergeCell ref="J19:K19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B1:T156"/>
  <sheetViews>
    <sheetView view="pageBreakPreview" zoomScale="70" zoomScaleNormal="55" zoomScaleSheetLayoutView="70" workbookViewId="0">
      <selection activeCell="K26" sqref="K26"/>
    </sheetView>
  </sheetViews>
  <sheetFormatPr defaultRowHeight="15"/>
  <cols>
    <col min="1" max="1" width="6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29.42578125" style="236" customWidth="1"/>
    <col min="8" max="8" width="19.140625" style="236" customWidth="1"/>
    <col min="9" max="9" width="20.28515625" style="236" customWidth="1"/>
    <col min="10" max="10" width="10.140625" style="236" customWidth="1"/>
    <col min="11" max="11" width="17.5703125" style="236" customWidth="1"/>
    <col min="12" max="12" width="9.85546875" style="2" bestFit="1" customWidth="1"/>
    <col min="13" max="13" width="7.28515625" style="2" customWidth="1"/>
    <col min="14" max="14" width="53.7109375" style="503" customWidth="1"/>
    <col min="15" max="15" width="9.28515625" style="504" bestFit="1" customWidth="1"/>
    <col min="16" max="16" width="18" style="504" bestFit="1" customWidth="1"/>
    <col min="17" max="17" width="19.140625" style="504" customWidth="1"/>
    <col min="18" max="18" width="18.5703125" style="504" customWidth="1"/>
    <col min="19" max="19" width="9.5703125" style="2" bestFit="1" customWidth="1"/>
    <col min="20" max="16384" width="9.140625" style="2"/>
  </cols>
  <sheetData>
    <row r="1" spans="2:18" s="6" customFormat="1" ht="15.75" customHeight="1">
      <c r="B1" s="987" t="s">
        <v>282</v>
      </c>
      <c r="C1" s="987"/>
      <c r="D1" s="987"/>
      <c r="E1" s="987"/>
      <c r="F1" s="987"/>
      <c r="G1" s="987"/>
      <c r="H1" s="987"/>
      <c r="I1" s="987"/>
      <c r="J1" s="987"/>
      <c r="K1" s="987"/>
      <c r="L1" s="5"/>
      <c r="M1" s="5"/>
      <c r="N1" s="988" t="s">
        <v>287</v>
      </c>
      <c r="O1" s="988"/>
      <c r="P1" s="988"/>
      <c r="Q1" s="988"/>
      <c r="R1" s="988"/>
    </row>
    <row r="2" spans="2:18" s="6" customFormat="1" ht="12.75">
      <c r="B2" s="989" t="s">
        <v>139</v>
      </c>
      <c r="C2" s="990"/>
      <c r="D2" s="990"/>
      <c r="E2" s="990"/>
      <c r="F2" s="990"/>
      <c r="G2" s="990"/>
      <c r="H2" s="990"/>
      <c r="I2" s="990"/>
      <c r="J2" s="990"/>
      <c r="K2" s="991"/>
      <c r="L2" s="5"/>
      <c r="M2" s="5"/>
      <c r="N2" s="992" t="s">
        <v>139</v>
      </c>
      <c r="O2" s="993"/>
      <c r="P2" s="993"/>
      <c r="Q2" s="993"/>
      <c r="R2" s="994"/>
    </row>
    <row r="3" spans="2:18" s="6" customFormat="1" ht="16.5" customHeight="1">
      <c r="B3" s="995"/>
      <c r="C3" s="996"/>
      <c r="D3" s="996"/>
      <c r="E3" s="996"/>
      <c r="F3" s="996"/>
      <c r="G3" s="996"/>
      <c r="H3" s="996"/>
      <c r="I3" s="996"/>
      <c r="J3" s="342" t="s">
        <v>127</v>
      </c>
      <c r="K3" s="343" t="s">
        <v>283</v>
      </c>
      <c r="L3" s="5"/>
      <c r="M3" s="5"/>
      <c r="N3" s="1228"/>
      <c r="O3" s="1228"/>
      <c r="P3" s="1228"/>
      <c r="Q3" s="1228"/>
      <c r="R3" s="1228"/>
    </row>
    <row r="4" spans="2:18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5"/>
      <c r="N4" s="331"/>
      <c r="O4" s="508"/>
      <c r="P4" s="509"/>
      <c r="Q4" s="508"/>
      <c r="R4" s="332"/>
    </row>
    <row r="5" spans="2:18" s="6" customFormat="1" ht="12.75">
      <c r="B5" s="1014" t="s">
        <v>223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"/>
      <c r="N5" s="986" t="s">
        <v>187</v>
      </c>
      <c r="O5" s="986"/>
      <c r="P5" s="986"/>
      <c r="Q5" s="986"/>
      <c r="R5" s="986"/>
    </row>
    <row r="6" spans="2:18" s="6" customFormat="1" ht="12.75">
      <c r="B6" s="486" t="s">
        <v>128</v>
      </c>
      <c r="C6" s="313" t="s">
        <v>129</v>
      </c>
      <c r="D6" s="314"/>
      <c r="E6" s="314"/>
      <c r="F6" s="314"/>
      <c r="G6" s="314"/>
      <c r="H6" s="1015" t="str">
        <f>K3</f>
        <v>05/04/2021 - 09:00H</v>
      </c>
      <c r="I6" s="1015"/>
      <c r="J6" s="1015"/>
      <c r="K6" s="1015"/>
      <c r="L6" s="5"/>
      <c r="M6" s="5"/>
      <c r="N6" s="319" t="s">
        <v>114</v>
      </c>
      <c r="O6" s="320" t="s">
        <v>115</v>
      </c>
      <c r="P6" s="320" t="s">
        <v>116</v>
      </c>
      <c r="Q6" s="320" t="s">
        <v>117</v>
      </c>
      <c r="R6" s="320" t="s">
        <v>97</v>
      </c>
    </row>
    <row r="7" spans="2:18" s="6" customFormat="1" ht="12.75">
      <c r="B7" s="486" t="s">
        <v>8</v>
      </c>
      <c r="C7" s="1001" t="s">
        <v>130</v>
      </c>
      <c r="D7" s="1002"/>
      <c r="E7" s="1002"/>
      <c r="F7" s="1002"/>
      <c r="G7" s="1003"/>
      <c r="H7" s="1015" t="s">
        <v>293</v>
      </c>
      <c r="I7" s="1015"/>
      <c r="J7" s="1015"/>
      <c r="K7" s="1015"/>
      <c r="L7" s="5"/>
      <c r="M7" s="5"/>
      <c r="N7" s="321" t="s">
        <v>118</v>
      </c>
      <c r="O7" s="322">
        <v>1</v>
      </c>
      <c r="P7" s="510">
        <v>47.34</v>
      </c>
      <c r="Q7" s="322">
        <v>6</v>
      </c>
      <c r="R7" s="510">
        <f>(O7*P7)/Q7</f>
        <v>7.8900000000000006</v>
      </c>
    </row>
    <row r="8" spans="2:18" s="6" customFormat="1" ht="16.5" customHeight="1">
      <c r="B8" s="486" t="s">
        <v>9</v>
      </c>
      <c r="C8" s="1001" t="s">
        <v>131</v>
      </c>
      <c r="D8" s="1002"/>
      <c r="E8" s="1002"/>
      <c r="F8" s="1002"/>
      <c r="G8" s="1003"/>
      <c r="H8" s="1004" t="s">
        <v>288</v>
      </c>
      <c r="I8" s="1004"/>
      <c r="J8" s="1004"/>
      <c r="K8" s="1004"/>
      <c r="L8" s="5"/>
      <c r="M8" s="5"/>
      <c r="N8" s="321" t="s">
        <v>162</v>
      </c>
      <c r="O8" s="322">
        <v>2</v>
      </c>
      <c r="P8" s="510">
        <v>50</v>
      </c>
      <c r="Q8" s="322">
        <v>6</v>
      </c>
      <c r="R8" s="510">
        <f>(O8*P8)/Q8</f>
        <v>16.666666666666668</v>
      </c>
    </row>
    <row r="9" spans="2:18" s="6" customFormat="1" ht="16.5" customHeight="1">
      <c r="B9" s="486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"/>
      <c r="N9" s="321" t="s">
        <v>185</v>
      </c>
      <c r="O9" s="322">
        <v>1</v>
      </c>
      <c r="P9" s="510">
        <v>150</v>
      </c>
      <c r="Q9" s="322">
        <v>6</v>
      </c>
      <c r="R9" s="510">
        <f>P9/Q9</f>
        <v>25</v>
      </c>
    </row>
    <row r="10" spans="2:18" s="6" customFormat="1" ht="16.5" customHeight="1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"/>
      <c r="N10" s="321" t="s">
        <v>186</v>
      </c>
      <c r="O10" s="322">
        <v>1</v>
      </c>
      <c r="P10" s="510">
        <v>4.72</v>
      </c>
      <c r="Q10" s="322">
        <v>12</v>
      </c>
      <c r="R10" s="510">
        <f>P10/Q10</f>
        <v>0.39333333333333331</v>
      </c>
    </row>
    <row r="11" spans="2:18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"/>
      <c r="N11" s="321" t="s">
        <v>119</v>
      </c>
      <c r="O11" s="322">
        <v>1</v>
      </c>
      <c r="P11" s="510">
        <v>10</v>
      </c>
      <c r="Q11" s="322">
        <v>12</v>
      </c>
      <c r="R11" s="510">
        <f t="shared" ref="R11:R12" si="0">(O11*P11)/Q11</f>
        <v>0.83333333333333337</v>
      </c>
    </row>
    <row r="12" spans="2:18" s="6" customFormat="1" ht="28.5" customHeight="1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VIGILANCIA ARMADA 12 HORAS DIURNAS 12X36 DE SEGUNDA FEIRA A DOMINGO</v>
      </c>
      <c r="I12" s="1010"/>
      <c r="J12" s="1010"/>
      <c r="K12" s="1010"/>
      <c r="L12" s="5"/>
      <c r="M12" s="5"/>
      <c r="N12" s="321" t="s">
        <v>124</v>
      </c>
      <c r="O12" s="322">
        <v>1</v>
      </c>
      <c r="P12" s="510">
        <v>50</v>
      </c>
      <c r="Q12" s="322">
        <v>6</v>
      </c>
      <c r="R12" s="510">
        <f t="shared" si="0"/>
        <v>8.3333333333333339</v>
      </c>
    </row>
    <row r="13" spans="2:18" s="6" customFormat="1" ht="12.75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5"/>
      <c r="N13" s="321" t="s">
        <v>148</v>
      </c>
      <c r="O13" s="322">
        <v>2</v>
      </c>
      <c r="P13" s="510">
        <v>8</v>
      </c>
      <c r="Q13" s="322">
        <v>6</v>
      </c>
      <c r="R13" s="510">
        <f>(O13*P13)/Q13</f>
        <v>2.6666666666666665</v>
      </c>
    </row>
    <row r="14" spans="2:18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1532.24</v>
      </c>
      <c r="I14" s="1025"/>
      <c r="J14" s="1025"/>
      <c r="K14" s="1025"/>
      <c r="L14" s="5"/>
      <c r="M14" s="5"/>
      <c r="N14" s="321" t="s">
        <v>206</v>
      </c>
      <c r="O14" s="322">
        <v>1</v>
      </c>
      <c r="P14" s="510">
        <v>5</v>
      </c>
      <c r="Q14" s="322">
        <v>12</v>
      </c>
      <c r="R14" s="510">
        <f t="shared" ref="R14:R18" si="1">(O14*P14)/Q14</f>
        <v>0.41666666666666669</v>
      </c>
    </row>
    <row r="15" spans="2:18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43831</v>
      </c>
      <c r="I15" s="1024"/>
      <c r="J15" s="1024"/>
      <c r="K15" s="1024"/>
      <c r="L15" s="5"/>
      <c r="M15" s="5"/>
      <c r="N15" s="321" t="s">
        <v>189</v>
      </c>
      <c r="O15" s="322">
        <v>1</v>
      </c>
      <c r="P15" s="510">
        <v>20</v>
      </c>
      <c r="Q15" s="322">
        <v>12</v>
      </c>
      <c r="R15" s="510">
        <f t="shared" si="1"/>
        <v>1.6666666666666667</v>
      </c>
    </row>
    <row r="16" spans="2:18" s="17" customFormat="1" ht="12.75">
      <c r="B16" s="291"/>
      <c r="C16" s="487"/>
      <c r="D16" s="495"/>
      <c r="E16" s="495"/>
      <c r="F16" s="495"/>
      <c r="G16" s="495"/>
      <c r="H16" s="495"/>
      <c r="I16" s="495"/>
      <c r="J16" s="495"/>
      <c r="K16" s="488"/>
      <c r="N16" s="321" t="s">
        <v>207</v>
      </c>
      <c r="O16" s="322">
        <v>1</v>
      </c>
      <c r="P16" s="510">
        <v>40</v>
      </c>
      <c r="Q16" s="322">
        <v>12</v>
      </c>
      <c r="R16" s="510">
        <f t="shared" si="1"/>
        <v>3.3333333333333335</v>
      </c>
    </row>
    <row r="17" spans="2:18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N17" s="321" t="s">
        <v>208</v>
      </c>
      <c r="O17" s="322">
        <v>1</v>
      </c>
      <c r="P17" s="510">
        <v>7</v>
      </c>
      <c r="Q17" s="322">
        <v>12</v>
      </c>
      <c r="R17" s="510">
        <f t="shared" si="1"/>
        <v>0.58333333333333337</v>
      </c>
    </row>
    <row r="18" spans="2:18" s="17" customFormat="1" ht="12.75">
      <c r="B18" s="291"/>
      <c r="C18" s="487"/>
      <c r="D18" s="495"/>
      <c r="E18" s="495"/>
      <c r="F18" s="495"/>
      <c r="G18" s="495"/>
      <c r="H18" s="495"/>
      <c r="I18" s="495"/>
      <c r="J18" s="487"/>
      <c r="K18" s="488"/>
      <c r="N18" s="321" t="s">
        <v>209</v>
      </c>
      <c r="O18" s="322">
        <v>1</v>
      </c>
      <c r="P18" s="510">
        <v>5</v>
      </c>
      <c r="Q18" s="322">
        <v>12</v>
      </c>
      <c r="R18" s="510">
        <f t="shared" si="1"/>
        <v>0.41666666666666669</v>
      </c>
    </row>
    <row r="19" spans="2:18" s="17" customFormat="1" ht="27.75" customHeight="1">
      <c r="B19" s="1017" t="s">
        <v>25</v>
      </c>
      <c r="C19" s="1017"/>
      <c r="D19" s="1017"/>
      <c r="E19" s="1017"/>
      <c r="F19" s="1017"/>
      <c r="G19" s="1017"/>
      <c r="H19" s="519" t="s">
        <v>26</v>
      </c>
      <c r="I19" s="1018" t="s">
        <v>27</v>
      </c>
      <c r="J19" s="1018"/>
      <c r="K19" s="1018"/>
      <c r="N19" s="321" t="s">
        <v>163</v>
      </c>
      <c r="O19" s="322">
        <v>2</v>
      </c>
      <c r="P19" s="510">
        <v>1</v>
      </c>
      <c r="Q19" s="322">
        <v>12</v>
      </c>
      <c r="R19" s="510">
        <f>(O19*P19)/Q19</f>
        <v>0.16666666666666666</v>
      </c>
    </row>
    <row r="20" spans="2:18" s="17" customFormat="1" ht="27.75" customHeight="1">
      <c r="B20" s="1019" t="str">
        <f>H12</f>
        <v>VIGILANCIA ARMADA 12 HORAS DIURNAS 12X36 DE SEGUNDA FEIRA A DOMINGO</v>
      </c>
      <c r="C20" s="1020"/>
      <c r="D20" s="1020"/>
      <c r="E20" s="1020"/>
      <c r="F20" s="1020"/>
      <c r="G20" s="1020"/>
      <c r="H20" s="317" t="s">
        <v>94</v>
      </c>
      <c r="I20" s="1021">
        <v>2</v>
      </c>
      <c r="J20" s="1021"/>
      <c r="K20" s="1021"/>
      <c r="N20" s="986" t="s">
        <v>147</v>
      </c>
      <c r="O20" s="986"/>
      <c r="P20" s="986"/>
      <c r="Q20" s="986"/>
      <c r="R20" s="511">
        <f>R7+R8+R9+R10+R11+R12+R13+R14+R15+R16+R17+R18+R19</f>
        <v>68.366666666666674</v>
      </c>
    </row>
    <row r="21" spans="2:18" s="17" customFormat="1" ht="12.75">
      <c r="B21" s="291"/>
      <c r="C21" s="487"/>
      <c r="D21" s="495"/>
      <c r="E21" s="495"/>
      <c r="F21" s="495"/>
      <c r="G21" s="495"/>
      <c r="H21" s="495"/>
      <c r="I21" s="495"/>
      <c r="J21" s="495"/>
      <c r="K21" s="488"/>
      <c r="N21" s="512"/>
      <c r="O21" s="513"/>
      <c r="P21" s="513"/>
      <c r="Q21" s="513"/>
      <c r="R21" s="514"/>
    </row>
    <row r="22" spans="2:18" s="17" customFormat="1" ht="12.7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N22" s="986" t="s">
        <v>188</v>
      </c>
      <c r="O22" s="986"/>
      <c r="P22" s="986"/>
      <c r="Q22" s="986"/>
      <c r="R22" s="986"/>
    </row>
    <row r="23" spans="2:18" s="17" customFormat="1" ht="12.75">
      <c r="B23" s="291"/>
      <c r="C23" s="495"/>
      <c r="D23" s="495"/>
      <c r="E23" s="495"/>
      <c r="F23" s="495"/>
      <c r="G23" s="495"/>
      <c r="H23" s="495"/>
      <c r="I23" s="495"/>
      <c r="J23" s="495"/>
      <c r="K23" s="488"/>
      <c r="N23" s="323" t="s">
        <v>114</v>
      </c>
      <c r="O23" s="324" t="s">
        <v>115</v>
      </c>
      <c r="P23" s="324" t="s">
        <v>116</v>
      </c>
      <c r="Q23" s="324" t="s">
        <v>117</v>
      </c>
      <c r="R23" s="324" t="s">
        <v>97</v>
      </c>
    </row>
    <row r="24" spans="2:18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N24" s="325" t="s">
        <v>120</v>
      </c>
      <c r="O24" s="326">
        <v>1</v>
      </c>
      <c r="P24" s="515">
        <v>30</v>
      </c>
      <c r="Q24" s="326">
        <v>6</v>
      </c>
      <c r="R24" s="516">
        <f>(O24*P24)/Q24</f>
        <v>5</v>
      </c>
    </row>
    <row r="25" spans="2:18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N25" s="327" t="s">
        <v>125</v>
      </c>
      <c r="O25" s="326">
        <v>1</v>
      </c>
      <c r="P25" s="515">
        <v>400</v>
      </c>
      <c r="Q25" s="326">
        <v>60</v>
      </c>
      <c r="R25" s="515">
        <f>O25*P25/Q25</f>
        <v>6.666666666666667</v>
      </c>
    </row>
    <row r="26" spans="2:18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N26" s="328" t="s">
        <v>190</v>
      </c>
      <c r="O26" s="326">
        <v>1</v>
      </c>
      <c r="P26" s="515">
        <v>20</v>
      </c>
      <c r="Q26" s="326">
        <v>12</v>
      </c>
      <c r="R26" s="515">
        <f t="shared" ref="R26" si="2">(O26*P26)/Q26</f>
        <v>1.6666666666666667</v>
      </c>
    </row>
    <row r="27" spans="2:18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1532.24</v>
      </c>
      <c r="N27" s="328" t="s">
        <v>210</v>
      </c>
      <c r="O27" s="322">
        <v>1</v>
      </c>
      <c r="P27" s="510">
        <v>30</v>
      </c>
      <c r="Q27" s="322">
        <v>12</v>
      </c>
      <c r="R27" s="510">
        <f>(O27*P27)/Q27</f>
        <v>2.5</v>
      </c>
    </row>
    <row r="28" spans="2:18" s="17" customFormat="1" ht="12.75">
      <c r="B28" s="238">
        <v>4</v>
      </c>
      <c r="C28" s="1027" t="s">
        <v>177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N28" s="321" t="s">
        <v>215</v>
      </c>
      <c r="O28" s="322">
        <v>1</v>
      </c>
      <c r="P28" s="510">
        <v>5</v>
      </c>
      <c r="Q28" s="322">
        <v>6</v>
      </c>
      <c r="R28" s="510">
        <f t="shared" ref="R28:R29" si="3">(O28*P28)/Q28</f>
        <v>0.83333333333333337</v>
      </c>
    </row>
    <row r="29" spans="2:18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N29" s="328" t="s">
        <v>211</v>
      </c>
      <c r="O29" s="322">
        <v>1</v>
      </c>
      <c r="P29" s="510">
        <v>250</v>
      </c>
      <c r="Q29" s="322">
        <v>60</v>
      </c>
      <c r="R29" s="510">
        <f t="shared" si="3"/>
        <v>4.166666666666667</v>
      </c>
    </row>
    <row r="30" spans="2:18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N30" s="986" t="s">
        <v>219</v>
      </c>
      <c r="O30" s="986"/>
      <c r="P30" s="986"/>
      <c r="Q30" s="986"/>
      <c r="R30" s="329">
        <f>R24+R25+R26+R27+R28+R29</f>
        <v>20.833333333333336</v>
      </c>
    </row>
    <row r="31" spans="2:18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N31" s="331"/>
      <c r="O31" s="508"/>
      <c r="P31" s="508"/>
      <c r="Q31" s="508"/>
      <c r="R31" s="333"/>
    </row>
    <row r="32" spans="2:18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489" t="s">
        <v>3</v>
      </c>
      <c r="K32" s="489" t="s">
        <v>1</v>
      </c>
      <c r="N32" s="986" t="s">
        <v>188</v>
      </c>
      <c r="O32" s="986"/>
      <c r="P32" s="986"/>
      <c r="Q32" s="986"/>
      <c r="R32" s="986"/>
    </row>
    <row r="33" spans="2:19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276">
        <f>K27</f>
        <v>1532.24</v>
      </c>
      <c r="L33" s="21"/>
      <c r="N33" s="323" t="s">
        <v>114</v>
      </c>
      <c r="O33" s="324" t="s">
        <v>115</v>
      </c>
      <c r="P33" s="324" t="s">
        <v>116</v>
      </c>
      <c r="Q33" s="324" t="s">
        <v>117</v>
      </c>
      <c r="R33" s="324" t="s">
        <v>97</v>
      </c>
    </row>
    <row r="34" spans="2:19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261">
        <v>0.3</v>
      </c>
      <c r="K34" s="276">
        <f>K33*J34</f>
        <v>459.67199999999997</v>
      </c>
      <c r="L34" s="21"/>
      <c r="N34" s="328" t="s">
        <v>220</v>
      </c>
      <c r="O34" s="322">
        <v>1</v>
      </c>
      <c r="P34" s="510">
        <v>1200</v>
      </c>
      <c r="Q34" s="326">
        <v>60</v>
      </c>
      <c r="R34" s="516">
        <f>(O34*P34)/Q34</f>
        <v>20</v>
      </c>
    </row>
    <row r="35" spans="2:19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61">
        <f>(7%/12%)</f>
        <v>0.58333333333333337</v>
      </c>
      <c r="K35" s="276">
        <f>(K33+K34)*J35*20%</f>
        <v>232.38973333333334</v>
      </c>
      <c r="L35" s="22">
        <v>1.66</v>
      </c>
      <c r="N35" s="328" t="s">
        <v>221</v>
      </c>
      <c r="O35" s="322">
        <v>12</v>
      </c>
      <c r="P35" s="510">
        <v>7</v>
      </c>
      <c r="Q35" s="326">
        <v>60</v>
      </c>
      <c r="R35" s="515">
        <f>O35*P35/Q35</f>
        <v>1.4</v>
      </c>
      <c r="S35" s="23"/>
    </row>
    <row r="36" spans="2:19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61">
        <f>(1%/12%)</f>
        <v>8.3333333333333343E-2</v>
      </c>
      <c r="K36" s="276">
        <f>(K33+K34)*J36*1.2</f>
        <v>199.19120000000001</v>
      </c>
      <c r="L36" s="22">
        <v>14.9</v>
      </c>
      <c r="N36" s="986" t="s">
        <v>219</v>
      </c>
      <c r="O36" s="986"/>
      <c r="P36" s="986"/>
      <c r="Q36" s="986"/>
      <c r="R36" s="329">
        <f>R34+R35</f>
        <v>21.4</v>
      </c>
      <c r="S36" s="16"/>
    </row>
    <row r="37" spans="2:19" s="17" customFormat="1" ht="15" hidden="1" customHeight="1">
      <c r="B37" s="238"/>
      <c r="C37" s="243"/>
      <c r="D37" s="1027" t="s">
        <v>111</v>
      </c>
      <c r="E37" s="1027"/>
      <c r="F37" s="1027"/>
      <c r="G37" s="1027"/>
      <c r="H37" s="1027"/>
      <c r="I37" s="1027"/>
      <c r="J37" s="278">
        <v>0</v>
      </c>
      <c r="K37" s="276">
        <f>J37*15</f>
        <v>0</v>
      </c>
      <c r="L37" s="22"/>
      <c r="N37" s="503"/>
      <c r="O37" s="504"/>
      <c r="P37" s="504"/>
      <c r="Q37" s="504"/>
      <c r="R37" s="504"/>
    </row>
    <row r="38" spans="2:19" s="17" customFormat="1" ht="15" hidden="1" customHeight="1">
      <c r="B38" s="238"/>
      <c r="C38" s="489"/>
      <c r="D38" s="1027" t="s">
        <v>110</v>
      </c>
      <c r="E38" s="1027"/>
      <c r="F38" s="1027"/>
      <c r="G38" s="1027"/>
      <c r="H38" s="1027"/>
      <c r="I38" s="1027"/>
      <c r="J38" s="278">
        <v>0</v>
      </c>
      <c r="K38" s="276">
        <f>K37/6</f>
        <v>0</v>
      </c>
      <c r="L38" s="22"/>
      <c r="N38" s="503"/>
      <c r="O38" s="504"/>
      <c r="P38" s="504"/>
      <c r="Q38" s="504"/>
      <c r="R38" s="504"/>
    </row>
    <row r="39" spans="2:19" s="17" customFormat="1" ht="15" hidden="1" customHeight="1">
      <c r="B39" s="238"/>
      <c r="C39" s="489"/>
      <c r="D39" s="1027" t="s">
        <v>112</v>
      </c>
      <c r="E39" s="1027"/>
      <c r="F39" s="1027"/>
      <c r="G39" s="1027"/>
      <c r="H39" s="1027"/>
      <c r="I39" s="1027"/>
      <c r="J39" s="279">
        <v>0</v>
      </c>
      <c r="K39" s="276">
        <f>J39*J35</f>
        <v>0</v>
      </c>
      <c r="L39" s="22"/>
      <c r="N39" s="503"/>
      <c r="O39" s="504"/>
      <c r="P39" s="504"/>
      <c r="Q39" s="504"/>
      <c r="R39" s="504"/>
    </row>
    <row r="40" spans="2:19" s="17" customForma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/>
      <c r="L40" s="22"/>
      <c r="N40" s="503"/>
      <c r="O40" s="504"/>
      <c r="P40" s="504"/>
      <c r="Q40" s="504"/>
      <c r="R40" s="504"/>
    </row>
    <row r="41" spans="2:19" s="17" customForma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2423.4929333333334</v>
      </c>
      <c r="L41" s="22"/>
      <c r="N41" s="503"/>
      <c r="O41" s="504"/>
      <c r="P41" s="504"/>
      <c r="Q41" s="504"/>
      <c r="R41" s="504"/>
      <c r="S41" s="23"/>
    </row>
    <row r="42" spans="2:19" s="17" customForma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SUM(K41)</f>
        <v>2423.4929333333334</v>
      </c>
      <c r="L42" s="22"/>
      <c r="N42" s="503"/>
      <c r="O42" s="1035" t="s">
        <v>241</v>
      </c>
      <c r="P42" s="1035"/>
      <c r="Q42" s="1035"/>
      <c r="R42" s="1035"/>
    </row>
    <row r="43" spans="2:19" s="17" customFormat="1">
      <c r="B43" s="291"/>
      <c r="C43" s="493"/>
      <c r="D43" s="493"/>
      <c r="E43" s="493"/>
      <c r="F43" s="493"/>
      <c r="G43" s="493"/>
      <c r="H43" s="493"/>
      <c r="I43" s="493"/>
      <c r="J43" s="493"/>
      <c r="K43" s="293"/>
      <c r="L43" s="27"/>
      <c r="N43" s="503"/>
      <c r="O43" s="1101" t="s">
        <v>242</v>
      </c>
      <c r="P43" s="1101"/>
      <c r="Q43" s="1101"/>
      <c r="R43" s="1101"/>
    </row>
    <row r="44" spans="2:19" s="17" customFormat="1">
      <c r="B44" s="291"/>
      <c r="C44" s="493"/>
      <c r="D44" s="493"/>
      <c r="E44" s="493"/>
      <c r="F44" s="493"/>
      <c r="G44" s="493"/>
      <c r="H44" s="493"/>
      <c r="I44" s="493"/>
      <c r="J44" s="493"/>
      <c r="K44" s="294"/>
      <c r="L44" s="29"/>
      <c r="N44" s="503"/>
      <c r="O44" s="504"/>
      <c r="P44" s="504"/>
      <c r="Q44" s="504"/>
      <c r="R44" s="504"/>
    </row>
    <row r="45" spans="2:19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9"/>
      <c r="N45" s="503"/>
      <c r="O45" s="504"/>
      <c r="P45" s="504"/>
      <c r="Q45" s="504"/>
      <c r="R45" s="504"/>
    </row>
    <row r="46" spans="2:19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501" t="s">
        <v>3</v>
      </c>
      <c r="K46" s="501" t="s">
        <v>1</v>
      </c>
      <c r="L46" s="29"/>
      <c r="M46" s="16"/>
      <c r="N46" s="503"/>
      <c r="O46" s="504"/>
      <c r="P46" s="504"/>
      <c r="Q46" s="504"/>
      <c r="R46" s="504"/>
    </row>
    <row r="47" spans="2:19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8.3299999999999999E-2</v>
      </c>
      <c r="K47" s="274">
        <f>$K$41*J47</f>
        <v>201.87696134666666</v>
      </c>
      <c r="L47" s="29"/>
      <c r="M47" s="30"/>
      <c r="N47" s="503"/>
      <c r="O47" s="504"/>
      <c r="P47" s="504"/>
      <c r="Q47" s="504"/>
      <c r="R47" s="504"/>
    </row>
    <row r="48" spans="2:19" s="17" customFormat="1">
      <c r="B48" s="238" t="s">
        <v>8</v>
      </c>
      <c r="C48" s="1027" t="s">
        <v>172</v>
      </c>
      <c r="D48" s="1027"/>
      <c r="E48" s="1027"/>
      <c r="F48" s="1027"/>
      <c r="G48" s="1027"/>
      <c r="H48" s="1027"/>
      <c r="I48" s="1027"/>
      <c r="J48" s="411">
        <v>0.1111</v>
      </c>
      <c r="K48" s="274">
        <f>J48*K41</f>
        <v>269.25006489333333</v>
      </c>
      <c r="L48" s="29"/>
      <c r="M48" s="30"/>
      <c r="N48" s="525"/>
      <c r="O48" s="526"/>
      <c r="P48" s="504"/>
      <c r="Q48" s="504"/>
      <c r="R48" s="504"/>
    </row>
    <row r="49" spans="2:20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0.19440000000000002</v>
      </c>
      <c r="K49" s="521">
        <f>SUM(K47:K48)</f>
        <v>471.12702623999996</v>
      </c>
      <c r="L49" s="29"/>
      <c r="M49" s="31"/>
      <c r="N49" s="525"/>
      <c r="O49" s="526"/>
      <c r="P49" s="504"/>
      <c r="Q49" s="504"/>
      <c r="R49" s="504"/>
    </row>
    <row r="50" spans="2:20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31"/>
      <c r="N50" s="527"/>
      <c r="O50" s="528"/>
      <c r="P50" s="504"/>
      <c r="Q50" s="504"/>
      <c r="R50" s="504"/>
    </row>
    <row r="51" spans="2:20" s="17" customFormat="1">
      <c r="B51" s="1030" t="s">
        <v>48</v>
      </c>
      <c r="C51" s="1030"/>
      <c r="D51" s="1030"/>
      <c r="E51" s="1030"/>
      <c r="F51" s="1030"/>
      <c r="G51" s="1030"/>
      <c r="H51" s="1030"/>
      <c r="I51" s="1030"/>
      <c r="J51" s="502" t="s">
        <v>3</v>
      </c>
      <c r="K51" s="502" t="s">
        <v>1</v>
      </c>
      <c r="L51" s="29"/>
      <c r="M51" s="31"/>
      <c r="N51" s="529"/>
      <c r="O51" s="528"/>
      <c r="P51" s="504"/>
      <c r="Q51" s="504"/>
      <c r="R51" s="504"/>
    </row>
    <row r="52" spans="2:20" s="17" customFormat="1" ht="15" customHeigh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J52*$K$42</f>
        <v>484.6985866666667</v>
      </c>
      <c r="L52" s="29"/>
      <c r="M52" s="31"/>
      <c r="N52" s="529"/>
      <c r="O52" s="528"/>
      <c r="P52" s="504"/>
      <c r="Q52" s="504"/>
      <c r="R52" s="504"/>
    </row>
    <row r="53" spans="2:20" s="17" customFormat="1" ht="14.25" customHeigh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J53*$K$42</f>
        <v>60.587323333333337</v>
      </c>
      <c r="L53" s="29"/>
      <c r="M53" s="31"/>
      <c r="N53" s="529"/>
      <c r="O53" s="528"/>
      <c r="P53" s="504"/>
      <c r="Q53" s="504"/>
      <c r="R53" s="504"/>
    </row>
    <row r="54" spans="2:20" s="17" customFormat="1" ht="19.5" customHeigh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1.4999999999999999E-2</v>
      </c>
      <c r="K54" s="273">
        <f t="shared" si="4"/>
        <v>36.352393999999997</v>
      </c>
      <c r="L54" s="29"/>
      <c r="M54" s="32"/>
      <c r="N54" s="530"/>
      <c r="O54" s="528"/>
      <c r="P54" s="504"/>
      <c r="Q54" s="504"/>
      <c r="R54" s="504"/>
    </row>
    <row r="55" spans="2:20" s="17" customFormat="1" ht="14.25" customHeigh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36.352393999999997</v>
      </c>
      <c r="L55" s="29"/>
      <c r="M55" s="31"/>
      <c r="N55" s="530"/>
      <c r="O55" s="528"/>
      <c r="P55" s="504"/>
      <c r="Q55" s="504"/>
      <c r="R55" s="504"/>
    </row>
    <row r="56" spans="2:20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24.234929333333334</v>
      </c>
      <c r="L56" s="29"/>
      <c r="M56" s="31"/>
      <c r="N56" s="531"/>
      <c r="O56" s="528"/>
      <c r="P56" s="504"/>
      <c r="Q56" s="504"/>
      <c r="R56" s="504"/>
    </row>
    <row r="57" spans="2:20" s="17" customFormat="1" ht="15" customHeigh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14.5409576</v>
      </c>
      <c r="L57" s="29"/>
      <c r="M57" s="31"/>
      <c r="N57" s="532"/>
      <c r="O57" s="528"/>
      <c r="P57" s="504"/>
      <c r="Q57" s="504"/>
      <c r="R57" s="504"/>
    </row>
    <row r="58" spans="2:20" s="17" customFormat="1" ht="15" customHeigh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4.8469858666666674</v>
      </c>
      <c r="L58" s="29"/>
      <c r="M58" s="31"/>
      <c r="N58" s="525"/>
      <c r="O58" s="526"/>
      <c r="P58" s="504"/>
      <c r="Q58" s="504"/>
      <c r="R58" s="504"/>
    </row>
    <row r="59" spans="2:20" s="17" customFormat="1" ht="15" customHeigh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193.87943466666667</v>
      </c>
      <c r="L59" s="29"/>
      <c r="M59" s="31"/>
      <c r="N59" s="525"/>
      <c r="O59" s="526"/>
      <c r="P59" s="504"/>
      <c r="Q59" s="504"/>
      <c r="R59" s="504"/>
    </row>
    <row r="60" spans="2:20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0.35300000000000004</v>
      </c>
      <c r="K60" s="521">
        <f>TRUNC(SUM(K52:K59),2)</f>
        <v>855.49</v>
      </c>
      <c r="L60" s="29"/>
      <c r="M60" s="31"/>
      <c r="N60" s="503"/>
      <c r="O60" s="504"/>
      <c r="P60" s="504"/>
      <c r="Q60" s="504"/>
      <c r="R60" s="504"/>
    </row>
    <row r="61" spans="2:20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31"/>
      <c r="N61" s="503"/>
      <c r="O61" s="504"/>
      <c r="P61" s="504"/>
      <c r="Q61" s="504"/>
      <c r="R61" s="504"/>
    </row>
    <row r="62" spans="2:20" s="17" customFormat="1">
      <c r="B62" s="1030" t="s">
        <v>49</v>
      </c>
      <c r="C62" s="1030"/>
      <c r="D62" s="1030"/>
      <c r="E62" s="1030"/>
      <c r="F62" s="1030"/>
      <c r="G62" s="1030"/>
      <c r="H62" s="1030"/>
      <c r="I62" s="1030"/>
      <c r="J62" s="1030" t="s">
        <v>1</v>
      </c>
      <c r="K62" s="1030"/>
      <c r="L62" s="29"/>
      <c r="M62" s="31"/>
      <c r="N62" s="503"/>
      <c r="O62" s="504"/>
      <c r="P62" s="504"/>
      <c r="Q62" s="504"/>
      <c r="R62" s="504"/>
    </row>
    <row r="63" spans="2:20" s="17" customFormat="1" ht="13.5" customHeight="1">
      <c r="B63" s="1229" t="s">
        <v>7</v>
      </c>
      <c r="C63" s="1230" t="s">
        <v>113</v>
      </c>
      <c r="D63" s="1230"/>
      <c r="E63" s="1230"/>
      <c r="F63" s="266" t="s">
        <v>90</v>
      </c>
      <c r="G63" s="266" t="s">
        <v>91</v>
      </c>
      <c r="H63" s="266" t="s">
        <v>92</v>
      </c>
      <c r="I63" s="266" t="s">
        <v>93</v>
      </c>
      <c r="J63" s="1231"/>
      <c r="K63" s="1232">
        <f>(F64*G64*H64)-(K33*I64)</f>
        <v>23.565600000000003</v>
      </c>
      <c r="L63" s="29"/>
      <c r="M63" s="30"/>
      <c r="N63" s="503"/>
      <c r="O63" s="504"/>
      <c r="P63" s="504"/>
      <c r="Q63" s="504"/>
      <c r="R63" s="504"/>
    </row>
    <row r="64" spans="2:20" s="17" customFormat="1">
      <c r="B64" s="1229"/>
      <c r="C64" s="1230"/>
      <c r="D64" s="1230"/>
      <c r="E64" s="1230"/>
      <c r="F64" s="267">
        <v>3.85</v>
      </c>
      <c r="G64" s="268">
        <v>2</v>
      </c>
      <c r="H64" s="268">
        <v>15</v>
      </c>
      <c r="I64" s="266">
        <v>0.06</v>
      </c>
      <c r="J64" s="1231"/>
      <c r="K64" s="1232"/>
      <c r="L64" s="29"/>
      <c r="M64" s="31"/>
      <c r="N64" s="503"/>
      <c r="O64" s="504"/>
      <c r="P64" s="504"/>
      <c r="Q64" s="504"/>
      <c r="R64" s="504"/>
      <c r="S64" s="132">
        <f>K33*6%/2</f>
        <v>45.967199999999998</v>
      </c>
      <c r="T64" s="131">
        <f>R64-S64</f>
        <v>-45.967199999999998</v>
      </c>
    </row>
    <row r="65" spans="2:18" s="17" customFormat="1" ht="12.75" customHeight="1">
      <c r="B65" s="269" t="s">
        <v>8</v>
      </c>
      <c r="C65" s="1233" t="s">
        <v>173</v>
      </c>
      <c r="D65" s="1233"/>
      <c r="E65" s="1233"/>
      <c r="F65" s="1233"/>
      <c r="G65" s="1233"/>
      <c r="H65" s="1233"/>
      <c r="I65" s="1233"/>
      <c r="J65" s="491">
        <v>27</v>
      </c>
      <c r="K65" s="271" t="s">
        <v>292</v>
      </c>
      <c r="L65" s="29"/>
      <c r="M65" s="31"/>
      <c r="N65" s="503"/>
      <c r="O65" s="504"/>
      <c r="P65" s="504"/>
      <c r="Q65" s="504"/>
      <c r="R65" s="504"/>
    </row>
    <row r="66" spans="2:18" s="17" customFormat="1" ht="12.75" customHeight="1">
      <c r="B66" s="269" t="s">
        <v>9</v>
      </c>
      <c r="C66" s="1234" t="s">
        <v>98</v>
      </c>
      <c r="D66" s="1234"/>
      <c r="E66" s="1234"/>
      <c r="F66" s="1234"/>
      <c r="G66" s="1234"/>
      <c r="H66" s="1234"/>
      <c r="I66" s="1234"/>
      <c r="J66" s="491">
        <v>5.08</v>
      </c>
      <c r="K66" s="271">
        <f>J66</f>
        <v>5.08</v>
      </c>
      <c r="L66" s="29"/>
      <c r="M66" s="31"/>
      <c r="N66" s="503"/>
      <c r="O66" s="504"/>
      <c r="P66" s="504"/>
      <c r="Q66" s="504"/>
      <c r="R66" s="504"/>
    </row>
    <row r="67" spans="2:18" s="17" customFormat="1">
      <c r="B67" s="269" t="s">
        <v>10</v>
      </c>
      <c r="C67" s="1233" t="s">
        <v>254</v>
      </c>
      <c r="D67" s="1233"/>
      <c r="E67" s="1233"/>
      <c r="F67" s="1233"/>
      <c r="G67" s="1233"/>
      <c r="H67" s="1233"/>
      <c r="I67" s="1233"/>
      <c r="J67" s="491">
        <v>0</v>
      </c>
      <c r="K67" s="271">
        <v>6</v>
      </c>
      <c r="L67" s="29"/>
      <c r="M67" s="31"/>
      <c r="N67" s="503"/>
      <c r="O67" s="504"/>
      <c r="P67" s="504"/>
      <c r="Q67" s="504"/>
      <c r="R67" s="504"/>
    </row>
    <row r="68" spans="2:18" s="17" customFormat="1" ht="12.75" customHeight="1">
      <c r="B68" s="269" t="s">
        <v>11</v>
      </c>
      <c r="C68" s="1235" t="s">
        <v>290</v>
      </c>
      <c r="D68" s="1235"/>
      <c r="E68" s="1235"/>
      <c r="F68" s="1235"/>
      <c r="G68" s="1235"/>
      <c r="H68" s="1235"/>
      <c r="I68" s="1235"/>
      <c r="J68" s="491">
        <v>50</v>
      </c>
      <c r="K68" s="271">
        <v>90</v>
      </c>
      <c r="L68" s="27">
        <f>K42/220</f>
        <v>11.01587696969697</v>
      </c>
      <c r="M68" s="31"/>
      <c r="N68" s="503"/>
      <c r="O68" s="504"/>
      <c r="P68" s="504"/>
      <c r="Q68" s="504"/>
      <c r="R68" s="504"/>
    </row>
    <row r="69" spans="2:18" s="17" customFormat="1" ht="15" customHeight="1">
      <c r="B69" s="269" t="s">
        <v>11</v>
      </c>
      <c r="C69" s="1235" t="s">
        <v>291</v>
      </c>
      <c r="D69" s="1235"/>
      <c r="E69" s="1235"/>
      <c r="F69" s="1235"/>
      <c r="G69" s="1235"/>
      <c r="H69" s="1235"/>
      <c r="I69" s="1235"/>
      <c r="J69" s="491"/>
      <c r="K69" s="271"/>
      <c r="L69" s="27">
        <f>K41/220</f>
        <v>11.01587696969697</v>
      </c>
      <c r="M69" s="31"/>
      <c r="N69" s="503"/>
      <c r="O69" s="504"/>
      <c r="P69" s="504"/>
      <c r="Q69" s="504"/>
      <c r="R69" s="504"/>
    </row>
    <row r="70" spans="2:18" s="17" customFormat="1">
      <c r="B70" s="1030" t="s">
        <v>50</v>
      </c>
      <c r="C70" s="1030"/>
      <c r="D70" s="1030"/>
      <c r="E70" s="1030"/>
      <c r="F70" s="1030"/>
      <c r="G70" s="1030"/>
      <c r="H70" s="1030"/>
      <c r="I70" s="1030"/>
      <c r="J70" s="1030"/>
      <c r="K70" s="520">
        <f>SUM(K63:K69)</f>
        <v>124.6456</v>
      </c>
      <c r="L70" s="29"/>
      <c r="M70" s="31"/>
      <c r="N70" s="503"/>
      <c r="O70" s="504"/>
      <c r="P70" s="504"/>
      <c r="Q70" s="504"/>
      <c r="R70" s="504"/>
    </row>
    <row r="71" spans="2:18" s="17" customFormat="1">
      <c r="B71" s="291"/>
      <c r="C71" s="1041"/>
      <c r="D71" s="1041"/>
      <c r="E71" s="1041"/>
      <c r="F71" s="1041"/>
      <c r="G71" s="1041"/>
      <c r="H71" s="1041"/>
      <c r="I71" s="1041"/>
      <c r="J71" s="1041"/>
      <c r="K71" s="1042"/>
      <c r="L71" s="29"/>
      <c r="M71" s="31"/>
      <c r="N71" s="503"/>
      <c r="O71" s="504"/>
      <c r="P71" s="504"/>
      <c r="Q71" s="504"/>
      <c r="R71" s="504"/>
    </row>
    <row r="72" spans="2:18" s="17" customFormat="1">
      <c r="B72" s="1030" t="s">
        <v>51</v>
      </c>
      <c r="C72" s="1030"/>
      <c r="D72" s="1030"/>
      <c r="E72" s="1030"/>
      <c r="F72" s="1030"/>
      <c r="G72" s="1030"/>
      <c r="H72" s="1030"/>
      <c r="I72" s="1030"/>
      <c r="J72" s="1030"/>
      <c r="K72" s="1030"/>
      <c r="L72" s="29"/>
      <c r="M72" s="31"/>
      <c r="N72" s="503"/>
      <c r="O72" s="504"/>
      <c r="P72" s="504"/>
      <c r="Q72" s="504"/>
      <c r="R72" s="504"/>
    </row>
    <row r="73" spans="2:18" s="17" customFormat="1">
      <c r="B73" s="1030" t="s">
        <v>55</v>
      </c>
      <c r="C73" s="1030"/>
      <c r="D73" s="1030"/>
      <c r="E73" s="1030"/>
      <c r="F73" s="1030"/>
      <c r="G73" s="1030"/>
      <c r="H73" s="1030"/>
      <c r="I73" s="1030"/>
      <c r="J73" s="1030"/>
      <c r="K73" s="502" t="s">
        <v>1</v>
      </c>
      <c r="L73" s="29"/>
      <c r="M73" s="31"/>
      <c r="N73" s="503"/>
      <c r="O73" s="504"/>
      <c r="P73" s="504"/>
      <c r="Q73" s="504"/>
      <c r="R73" s="504"/>
    </row>
    <row r="74" spans="2:18" s="17" customFormat="1">
      <c r="B74" s="494" t="s">
        <v>52</v>
      </c>
      <c r="C74" s="1044" t="s">
        <v>42</v>
      </c>
      <c r="D74" s="1044"/>
      <c r="E74" s="1044"/>
      <c r="F74" s="1044"/>
      <c r="G74" s="1044"/>
      <c r="H74" s="1044"/>
      <c r="I74" s="1044"/>
      <c r="J74" s="1044"/>
      <c r="K74" s="242">
        <f>K49</f>
        <v>471.12702623999996</v>
      </c>
      <c r="L74" s="29"/>
      <c r="M74" s="31"/>
      <c r="N74" s="503"/>
      <c r="O74" s="504"/>
      <c r="P74" s="504"/>
      <c r="Q74" s="504"/>
      <c r="R74" s="504"/>
    </row>
    <row r="75" spans="2:18" s="17" customFormat="1">
      <c r="B75" s="264" t="s">
        <v>53</v>
      </c>
      <c r="C75" s="1044" t="s">
        <v>44</v>
      </c>
      <c r="D75" s="1044"/>
      <c r="E75" s="1044"/>
      <c r="F75" s="1044"/>
      <c r="G75" s="1044"/>
      <c r="H75" s="1044"/>
      <c r="I75" s="1044"/>
      <c r="J75" s="1044"/>
      <c r="K75" s="246">
        <f>K60</f>
        <v>855.49</v>
      </c>
      <c r="L75" s="29"/>
      <c r="M75" s="31"/>
      <c r="N75" s="503"/>
      <c r="O75" s="504"/>
      <c r="P75" s="504"/>
      <c r="Q75" s="504"/>
      <c r="R75" s="504"/>
    </row>
    <row r="76" spans="2:18" s="17" customFormat="1">
      <c r="B76" s="264" t="s">
        <v>54</v>
      </c>
      <c r="C76" s="1044" t="s">
        <v>56</v>
      </c>
      <c r="D76" s="1044"/>
      <c r="E76" s="1044"/>
      <c r="F76" s="1044"/>
      <c r="G76" s="1044"/>
      <c r="H76" s="1044"/>
      <c r="I76" s="1044"/>
      <c r="J76" s="1044"/>
      <c r="K76" s="246">
        <f>K70</f>
        <v>124.6456</v>
      </c>
      <c r="L76" s="29"/>
      <c r="M76" s="31"/>
      <c r="N76" s="503"/>
      <c r="O76" s="504"/>
      <c r="P76" s="504"/>
      <c r="Q76" s="504"/>
      <c r="R76" s="504"/>
    </row>
    <row r="77" spans="2:18" s="17" customFormat="1">
      <c r="B77" s="291"/>
      <c r="C77" s="1031" t="s">
        <v>58</v>
      </c>
      <c r="D77" s="1031"/>
      <c r="E77" s="1031"/>
      <c r="F77" s="1031"/>
      <c r="G77" s="1031"/>
      <c r="H77" s="1031"/>
      <c r="I77" s="1031"/>
      <c r="J77" s="1031"/>
      <c r="K77" s="265">
        <f>TRUNC(SUM(K74:K76),2)</f>
        <v>1451.26</v>
      </c>
      <c r="L77" s="29"/>
      <c r="N77" s="503"/>
      <c r="O77" s="504"/>
      <c r="P77" s="504"/>
      <c r="Q77" s="504"/>
      <c r="R77" s="504"/>
    </row>
    <row r="78" spans="2:18" s="17" customFormat="1">
      <c r="B78" s="1030" t="s">
        <v>59</v>
      </c>
      <c r="C78" s="1030"/>
      <c r="D78" s="1030"/>
      <c r="E78" s="1030"/>
      <c r="F78" s="1030"/>
      <c r="G78" s="1030"/>
      <c r="H78" s="1030"/>
      <c r="I78" s="1030"/>
      <c r="J78" s="1030"/>
      <c r="K78" s="1030"/>
      <c r="L78" s="29"/>
      <c r="N78" s="503"/>
      <c r="O78" s="504"/>
      <c r="P78" s="504"/>
      <c r="Q78" s="504"/>
      <c r="R78" s="504"/>
    </row>
    <row r="79" spans="2:18" s="17" customFormat="1">
      <c r="B79" s="489">
        <v>3</v>
      </c>
      <c r="C79" s="1031" t="s">
        <v>60</v>
      </c>
      <c r="D79" s="1031"/>
      <c r="E79" s="1031"/>
      <c r="F79" s="1031"/>
      <c r="G79" s="1031"/>
      <c r="H79" s="1031"/>
      <c r="I79" s="1031"/>
      <c r="J79" s="489" t="s">
        <v>3</v>
      </c>
      <c r="K79" s="489" t="s">
        <v>1</v>
      </c>
      <c r="L79" s="29"/>
      <c r="M79" s="33"/>
      <c r="N79" s="503"/>
      <c r="O79" s="504"/>
      <c r="P79" s="504"/>
      <c r="Q79" s="504"/>
      <c r="R79" s="504"/>
    </row>
    <row r="80" spans="2:18" s="17" customFormat="1">
      <c r="B80" s="489" t="s">
        <v>7</v>
      </c>
      <c r="C80" s="1051" t="s">
        <v>101</v>
      </c>
      <c r="D80" s="1051"/>
      <c r="E80" s="1051"/>
      <c r="F80" s="1051"/>
      <c r="G80" s="1051"/>
      <c r="H80" s="1051"/>
      <c r="I80" s="1051"/>
      <c r="J80" s="416">
        <v>4.1999999999999997E-3</v>
      </c>
      <c r="K80" s="246">
        <f>K42*J80</f>
        <v>10.17867032</v>
      </c>
      <c r="L80" s="29"/>
      <c r="M80" s="31"/>
      <c r="N80" s="503"/>
      <c r="O80" s="504"/>
      <c r="P80" s="504"/>
      <c r="Q80" s="504"/>
      <c r="R80" s="504"/>
    </row>
    <row r="81" spans="2:18" s="17" customFormat="1">
      <c r="B81" s="489" t="s">
        <v>8</v>
      </c>
      <c r="C81" s="1044" t="s">
        <v>102</v>
      </c>
      <c r="D81" s="1044"/>
      <c r="E81" s="1044"/>
      <c r="F81" s="1044"/>
      <c r="G81" s="1044"/>
      <c r="H81" s="1044"/>
      <c r="I81" s="1044"/>
      <c r="J81" s="417">
        <v>2.9999999999999997E-4</v>
      </c>
      <c r="K81" s="242">
        <f>J81*K42</f>
        <v>0.72704787999999998</v>
      </c>
      <c r="L81" s="29"/>
      <c r="M81" s="33"/>
      <c r="N81" s="503"/>
      <c r="O81" s="504"/>
      <c r="P81" s="504"/>
      <c r="Q81" s="504"/>
      <c r="R81" s="504"/>
    </row>
    <row r="82" spans="2:18" s="17" customFormat="1">
      <c r="B82" s="489" t="s">
        <v>9</v>
      </c>
      <c r="C82" s="1051" t="s">
        <v>103</v>
      </c>
      <c r="D82" s="1051"/>
      <c r="E82" s="1051"/>
      <c r="F82" s="1051"/>
      <c r="G82" s="1051"/>
      <c r="H82" s="1051"/>
      <c r="I82" s="1051"/>
      <c r="J82" s="416">
        <v>1.4E-3</v>
      </c>
      <c r="K82" s="242">
        <f>J82*K41</f>
        <v>3.3928901066666666</v>
      </c>
      <c r="L82" s="29"/>
      <c r="M82" s="31"/>
      <c r="N82" s="503"/>
      <c r="O82" s="504"/>
      <c r="P82" s="504"/>
      <c r="Q82" s="504"/>
      <c r="R82" s="504"/>
    </row>
    <row r="83" spans="2:18" s="17" customFormat="1">
      <c r="B83" s="489" t="s">
        <v>10</v>
      </c>
      <c r="C83" s="1044" t="s">
        <v>104</v>
      </c>
      <c r="D83" s="1044"/>
      <c r="E83" s="1044"/>
      <c r="F83" s="1044"/>
      <c r="G83" s="1044"/>
      <c r="H83" s="1044"/>
      <c r="I83" s="1044"/>
      <c r="J83" s="261">
        <v>1.9E-3</v>
      </c>
      <c r="K83" s="242">
        <f>J83*K41</f>
        <v>4.6046365733333339</v>
      </c>
      <c r="L83" s="29"/>
      <c r="M83" s="31"/>
      <c r="N83" s="503"/>
      <c r="O83" s="504"/>
      <c r="P83" s="504"/>
      <c r="Q83" s="504"/>
      <c r="R83" s="504"/>
    </row>
    <row r="84" spans="2:18" s="17" customFormat="1">
      <c r="B84" s="489" t="s">
        <v>11</v>
      </c>
      <c r="C84" s="1044" t="s">
        <v>105</v>
      </c>
      <c r="D84" s="1044"/>
      <c r="E84" s="1044"/>
      <c r="F84" s="1044"/>
      <c r="G84" s="1044"/>
      <c r="H84" s="1044"/>
      <c r="I84" s="1044"/>
      <c r="J84" s="417">
        <v>6.9999999999999999E-4</v>
      </c>
      <c r="K84" s="242">
        <f>J84*K41</f>
        <v>1.6964450533333333</v>
      </c>
      <c r="L84" s="29"/>
      <c r="M84" s="33"/>
      <c r="N84" s="503"/>
      <c r="O84" s="504"/>
      <c r="P84" s="504"/>
      <c r="Q84" s="504"/>
      <c r="R84" s="504"/>
    </row>
    <row r="85" spans="2:18" s="17" customFormat="1">
      <c r="B85" s="489" t="s">
        <v>12</v>
      </c>
      <c r="C85" s="1051" t="s">
        <v>106</v>
      </c>
      <c r="D85" s="1051"/>
      <c r="E85" s="1051"/>
      <c r="F85" s="1051"/>
      <c r="G85" s="1051"/>
      <c r="H85" s="1051"/>
      <c r="I85" s="1051"/>
      <c r="J85" s="416">
        <v>4.82E-2</v>
      </c>
      <c r="K85" s="242">
        <f>J85*K41</f>
        <v>116.81235938666667</v>
      </c>
      <c r="L85" s="29"/>
      <c r="M85" s="31"/>
      <c r="N85" s="503"/>
      <c r="O85" s="504"/>
      <c r="P85" s="504"/>
      <c r="Q85" s="504"/>
      <c r="R85" s="504"/>
    </row>
    <row r="86" spans="2:18" s="17" customFormat="1">
      <c r="B86" s="1030" t="s">
        <v>61</v>
      </c>
      <c r="C86" s="1030"/>
      <c r="D86" s="1030"/>
      <c r="E86" s="1030"/>
      <c r="F86" s="1030"/>
      <c r="G86" s="1030"/>
      <c r="H86" s="1030"/>
      <c r="I86" s="1030"/>
      <c r="J86" s="522">
        <f>SUM(J80:J85)</f>
        <v>5.67E-2</v>
      </c>
      <c r="K86" s="260">
        <f>TRUNC(SUM(K80:K85),2)</f>
        <v>137.41</v>
      </c>
      <c r="L86" s="29"/>
      <c r="N86" s="503"/>
      <c r="O86" s="504"/>
      <c r="P86" s="504"/>
      <c r="Q86" s="504"/>
      <c r="R86" s="504"/>
    </row>
    <row r="87" spans="2:18" s="17" customFormat="1">
      <c r="B87" s="291"/>
      <c r="C87" s="1052"/>
      <c r="D87" s="1053"/>
      <c r="E87" s="1053"/>
      <c r="F87" s="1053"/>
      <c r="G87" s="1053"/>
      <c r="H87" s="1053"/>
      <c r="I87" s="1053"/>
      <c r="J87" s="1053"/>
      <c r="K87" s="1054"/>
      <c r="L87" s="29"/>
      <c r="N87" s="503"/>
      <c r="O87" s="504"/>
      <c r="P87" s="504"/>
      <c r="Q87" s="504"/>
      <c r="R87" s="504"/>
    </row>
    <row r="88" spans="2:18" s="17" customFormat="1">
      <c r="B88" s="1030" t="s">
        <v>62</v>
      </c>
      <c r="C88" s="1030"/>
      <c r="D88" s="1030"/>
      <c r="E88" s="1030"/>
      <c r="F88" s="1030"/>
      <c r="G88" s="1030"/>
      <c r="H88" s="1030"/>
      <c r="I88" s="1030"/>
      <c r="J88" s="1030"/>
      <c r="K88" s="1030"/>
      <c r="L88" s="29"/>
      <c r="N88" s="503"/>
      <c r="O88" s="504"/>
      <c r="P88" s="504"/>
      <c r="Q88" s="504"/>
      <c r="R88" s="504"/>
    </row>
    <row r="89" spans="2:18" s="17" customFormat="1">
      <c r="B89" s="1031" t="s">
        <v>63</v>
      </c>
      <c r="C89" s="1031"/>
      <c r="D89" s="1031"/>
      <c r="E89" s="1031"/>
      <c r="F89" s="1031"/>
      <c r="G89" s="1031"/>
      <c r="H89" s="1031"/>
      <c r="I89" s="1031"/>
      <c r="J89" s="489" t="s">
        <v>3</v>
      </c>
      <c r="K89" s="489" t="s">
        <v>1</v>
      </c>
      <c r="L89" s="29"/>
      <c r="M89" s="31"/>
      <c r="N89" s="503"/>
      <c r="O89" s="504"/>
      <c r="P89" s="504"/>
      <c r="Q89" s="504"/>
      <c r="R89" s="504"/>
    </row>
    <row r="90" spans="2:18" s="17" customFormat="1">
      <c r="B90" s="489" t="s">
        <v>7</v>
      </c>
      <c r="C90" s="1044" t="s">
        <v>255</v>
      </c>
      <c r="D90" s="1044"/>
      <c r="E90" s="1044"/>
      <c r="F90" s="1044"/>
      <c r="G90" s="1044"/>
      <c r="H90" s="1044"/>
      <c r="I90" s="1044"/>
      <c r="J90" s="418">
        <v>9.2999999999999992E-3</v>
      </c>
      <c r="K90" s="242">
        <f>$K$41*J90</f>
        <v>22.538484279999999</v>
      </c>
      <c r="L90" s="29"/>
      <c r="M90" s="31"/>
      <c r="N90" s="503"/>
      <c r="O90" s="504"/>
      <c r="P90" s="504"/>
      <c r="Q90" s="504"/>
      <c r="R90" s="504"/>
    </row>
    <row r="91" spans="2:18" s="17" customFormat="1">
      <c r="B91" s="243" t="s">
        <v>8</v>
      </c>
      <c r="C91" s="1044" t="s">
        <v>256</v>
      </c>
      <c r="D91" s="1044"/>
      <c r="E91" s="1044"/>
      <c r="F91" s="1044"/>
      <c r="G91" s="1044"/>
      <c r="H91" s="1044"/>
      <c r="I91" s="1044"/>
      <c r="J91" s="418">
        <v>4.0000000000000002E-4</v>
      </c>
      <c r="K91" s="246">
        <f t="shared" ref="K91:K95" si="5">$K$41*J91</f>
        <v>0.96939717333333342</v>
      </c>
      <c r="L91" s="29"/>
      <c r="M91" s="33"/>
      <c r="N91" s="503"/>
      <c r="O91" s="504"/>
      <c r="P91" s="504"/>
      <c r="Q91" s="504"/>
      <c r="R91" s="504"/>
    </row>
    <row r="92" spans="2:18" s="17" customFormat="1">
      <c r="B92" s="243" t="s">
        <v>9</v>
      </c>
      <c r="C92" s="1044" t="s">
        <v>182</v>
      </c>
      <c r="D92" s="1044"/>
      <c r="E92" s="1044"/>
      <c r="F92" s="1044"/>
      <c r="G92" s="1044"/>
      <c r="H92" s="1044"/>
      <c r="I92" s="1044"/>
      <c r="J92" s="418">
        <v>2.0000000000000001E-4</v>
      </c>
      <c r="K92" s="246">
        <f t="shared" si="5"/>
        <v>0.48469858666666671</v>
      </c>
      <c r="L92" s="29"/>
      <c r="M92" s="33"/>
      <c r="N92" s="503"/>
      <c r="O92" s="504"/>
      <c r="P92" s="504"/>
      <c r="Q92" s="504"/>
      <c r="R92" s="504"/>
    </row>
    <row r="93" spans="2:18" s="17" customFormat="1">
      <c r="B93" s="243" t="s">
        <v>10</v>
      </c>
      <c r="C93" s="1044" t="s">
        <v>183</v>
      </c>
      <c r="D93" s="1044"/>
      <c r="E93" s="1044"/>
      <c r="F93" s="1044"/>
      <c r="G93" s="1044"/>
      <c r="H93" s="1044"/>
      <c r="I93" s="1044"/>
      <c r="J93" s="418">
        <v>2.9999999999999997E-4</v>
      </c>
      <c r="K93" s="246">
        <f t="shared" si="5"/>
        <v>0.72704787999999998</v>
      </c>
      <c r="L93" s="29"/>
      <c r="M93" s="31"/>
      <c r="N93" s="503"/>
      <c r="O93" s="504"/>
      <c r="P93" s="504"/>
      <c r="Q93" s="504"/>
      <c r="R93" s="504"/>
    </row>
    <row r="94" spans="2:18" s="17" customFormat="1">
      <c r="B94" s="243" t="s">
        <v>11</v>
      </c>
      <c r="C94" s="1044" t="s">
        <v>184</v>
      </c>
      <c r="D94" s="1044"/>
      <c r="E94" s="1044"/>
      <c r="F94" s="1044"/>
      <c r="G94" s="1044"/>
      <c r="H94" s="1044"/>
      <c r="I94" s="1044"/>
      <c r="J94" s="418">
        <v>5.0000000000000001E-4</v>
      </c>
      <c r="K94" s="246">
        <f t="shared" si="5"/>
        <v>1.2117464666666669</v>
      </c>
      <c r="L94" s="29"/>
      <c r="M94" s="31"/>
      <c r="N94" s="503"/>
      <c r="O94" s="504"/>
      <c r="P94" s="504"/>
      <c r="Q94" s="504"/>
      <c r="R94" s="504"/>
    </row>
    <row r="95" spans="2:18" s="17" customFormat="1">
      <c r="B95" s="243" t="s">
        <v>12</v>
      </c>
      <c r="C95" s="1044" t="s">
        <v>286</v>
      </c>
      <c r="D95" s="1044"/>
      <c r="E95" s="1044"/>
      <c r="F95" s="1044"/>
      <c r="G95" s="1044"/>
      <c r="H95" s="1044"/>
      <c r="I95" s="1044"/>
      <c r="J95" s="418">
        <v>0</v>
      </c>
      <c r="K95" s="246">
        <f t="shared" si="5"/>
        <v>0</v>
      </c>
      <c r="L95" s="29"/>
      <c r="M95" s="31"/>
      <c r="N95" s="503"/>
      <c r="O95" s="504"/>
      <c r="P95" s="504"/>
      <c r="Q95" s="504"/>
      <c r="R95" s="504"/>
    </row>
    <row r="96" spans="2:18" s="17" customFormat="1" ht="13.5" customHeight="1">
      <c r="B96" s="1055" t="s">
        <v>17</v>
      </c>
      <c r="C96" s="1056"/>
      <c r="D96" s="1056"/>
      <c r="E96" s="1056"/>
      <c r="F96" s="1056"/>
      <c r="G96" s="1056"/>
      <c r="H96" s="1056"/>
      <c r="I96" s="1057"/>
      <c r="J96" s="259">
        <f>SUM(J90:J95)</f>
        <v>1.0699999999999999E-2</v>
      </c>
      <c r="K96" s="260">
        <f>SUM(K90:K95)</f>
        <v>25.931374386666668</v>
      </c>
      <c r="L96" s="29"/>
      <c r="M96" s="31"/>
      <c r="N96" s="503"/>
      <c r="O96" s="504"/>
      <c r="P96" s="504"/>
      <c r="Q96" s="504"/>
      <c r="R96" s="504"/>
    </row>
    <row r="97" spans="2:18" s="17" customFormat="1">
      <c r="B97" s="1058"/>
      <c r="C97" s="1028"/>
      <c r="D97" s="1028"/>
      <c r="E97" s="1028"/>
      <c r="F97" s="1028"/>
      <c r="G97" s="1028"/>
      <c r="H97" s="1028"/>
      <c r="I97" s="1028"/>
      <c r="J97" s="1028"/>
      <c r="K97" s="1029"/>
      <c r="L97" s="29"/>
      <c r="N97" s="503"/>
      <c r="O97" s="504"/>
      <c r="P97" s="504"/>
      <c r="Q97" s="504"/>
      <c r="R97" s="504"/>
    </row>
    <row r="98" spans="2:18" s="17" customFormat="1">
      <c r="B98" s="1055" t="s">
        <v>289</v>
      </c>
      <c r="C98" s="1056"/>
      <c r="D98" s="1056"/>
      <c r="E98" s="1056"/>
      <c r="F98" s="1056"/>
      <c r="G98" s="1056"/>
      <c r="H98" s="1056"/>
      <c r="I98" s="1056"/>
      <c r="J98" s="1057"/>
      <c r="K98" s="502" t="s">
        <v>1</v>
      </c>
      <c r="L98" s="29"/>
      <c r="N98" s="503"/>
      <c r="O98" s="504"/>
      <c r="P98" s="504"/>
      <c r="Q98" s="504"/>
      <c r="R98" s="504"/>
    </row>
    <row r="99" spans="2:18" s="17" customFormat="1">
      <c r="B99" s="489" t="s">
        <v>7</v>
      </c>
      <c r="C99" s="1038" t="s">
        <v>67</v>
      </c>
      <c r="D99" s="1039"/>
      <c r="E99" s="1039"/>
      <c r="F99" s="1039"/>
      <c r="G99" s="1039"/>
      <c r="H99" s="1039"/>
      <c r="I99" s="1039"/>
      <c r="J99" s="1040"/>
      <c r="K99" s="242">
        <f>((K33+K34)/220)*1.5*15</f>
        <v>203.7182727272727</v>
      </c>
      <c r="L99" s="29"/>
      <c r="N99" s="503"/>
      <c r="O99" s="504"/>
      <c r="P99" s="504"/>
      <c r="Q99" s="504"/>
      <c r="R99" s="504"/>
    </row>
    <row r="100" spans="2:18" s="17" customFormat="1">
      <c r="B100" s="1055" t="s">
        <v>257</v>
      </c>
      <c r="C100" s="1056"/>
      <c r="D100" s="1056"/>
      <c r="E100" s="1056"/>
      <c r="F100" s="1056"/>
      <c r="G100" s="1056"/>
      <c r="H100" s="1056"/>
      <c r="I100" s="1056"/>
      <c r="J100" s="1057"/>
      <c r="K100" s="260">
        <f>K99</f>
        <v>203.7182727272727</v>
      </c>
      <c r="L100" s="29"/>
      <c r="N100" s="503"/>
      <c r="O100" s="504"/>
      <c r="P100" s="504"/>
      <c r="Q100" s="504"/>
      <c r="R100" s="504"/>
    </row>
    <row r="101" spans="2:18" s="17" customFormat="1">
      <c r="B101" s="490"/>
      <c r="C101" s="487"/>
      <c r="D101" s="487"/>
      <c r="E101" s="487"/>
      <c r="F101" s="487"/>
      <c r="G101" s="487"/>
      <c r="H101" s="487"/>
      <c r="I101" s="487"/>
      <c r="J101" s="487"/>
      <c r="K101" s="488"/>
      <c r="L101" s="29"/>
      <c r="N101" s="503"/>
      <c r="O101" s="504"/>
      <c r="P101" s="504"/>
      <c r="Q101" s="504"/>
      <c r="R101" s="504"/>
    </row>
    <row r="102" spans="2:18" s="17" customFormat="1">
      <c r="B102" s="1030" t="s">
        <v>65</v>
      </c>
      <c r="C102" s="1030"/>
      <c r="D102" s="1030"/>
      <c r="E102" s="1030"/>
      <c r="F102" s="1030"/>
      <c r="G102" s="1030"/>
      <c r="H102" s="1030"/>
      <c r="I102" s="1030"/>
      <c r="J102" s="1030"/>
      <c r="K102" s="1030"/>
      <c r="L102" s="29"/>
      <c r="N102" s="503"/>
      <c r="O102" s="504"/>
      <c r="P102" s="504"/>
      <c r="Q102" s="504"/>
      <c r="R102" s="504"/>
    </row>
    <row r="103" spans="2:18" s="17" customFormat="1">
      <c r="B103" s="1030" t="s">
        <v>66</v>
      </c>
      <c r="C103" s="1030"/>
      <c r="D103" s="1030"/>
      <c r="E103" s="1030"/>
      <c r="F103" s="1030"/>
      <c r="G103" s="1030"/>
      <c r="H103" s="1030"/>
      <c r="I103" s="1030"/>
      <c r="J103" s="1030"/>
      <c r="K103" s="502" t="s">
        <v>1</v>
      </c>
      <c r="L103" s="29">
        <v>21.6</v>
      </c>
      <c r="N103" s="503"/>
      <c r="O103" s="504"/>
      <c r="P103" s="504"/>
      <c r="Q103" s="504"/>
      <c r="R103" s="504"/>
    </row>
    <row r="104" spans="2:18" s="17" customFormat="1">
      <c r="B104" s="489" t="s">
        <v>19</v>
      </c>
      <c r="C104" s="1038" t="s">
        <v>64</v>
      </c>
      <c r="D104" s="1039"/>
      <c r="E104" s="1039"/>
      <c r="F104" s="1039"/>
      <c r="G104" s="1039"/>
      <c r="H104" s="1039"/>
      <c r="I104" s="1039"/>
      <c r="J104" s="1040"/>
      <c r="K104" s="242">
        <f>K96</f>
        <v>25.931374386666668</v>
      </c>
      <c r="L104" s="29"/>
      <c r="N104" s="503"/>
      <c r="O104" s="504"/>
      <c r="P104" s="504"/>
      <c r="Q104" s="504"/>
      <c r="R104" s="504"/>
    </row>
    <row r="105" spans="2:18" s="17" customFormat="1">
      <c r="B105" s="243" t="s">
        <v>20</v>
      </c>
      <c r="C105" s="1027" t="s">
        <v>67</v>
      </c>
      <c r="D105" s="1027"/>
      <c r="E105" s="1027"/>
      <c r="F105" s="1027"/>
      <c r="G105" s="1027"/>
      <c r="H105" s="1027"/>
      <c r="I105" s="1027"/>
      <c r="J105" s="1027"/>
      <c r="K105" s="253">
        <f>((K33+K34)/220)*1.5*15</f>
        <v>203.7182727272727</v>
      </c>
      <c r="L105" s="29"/>
      <c r="N105" s="503"/>
      <c r="O105" s="504"/>
      <c r="P105" s="504"/>
      <c r="Q105" s="504"/>
      <c r="R105" s="504"/>
    </row>
    <row r="106" spans="2:18" s="17" customFormat="1">
      <c r="B106" s="1031" t="s">
        <v>68</v>
      </c>
      <c r="C106" s="1031"/>
      <c r="D106" s="1031"/>
      <c r="E106" s="1031"/>
      <c r="F106" s="1031"/>
      <c r="G106" s="1031"/>
      <c r="H106" s="1031"/>
      <c r="I106" s="1031"/>
      <c r="J106" s="1031"/>
      <c r="K106" s="249">
        <f>TRUNC(SUM(K104:K105),2)</f>
        <v>229.64</v>
      </c>
      <c r="L106" s="29"/>
      <c r="N106" s="503"/>
      <c r="O106" s="504"/>
      <c r="P106" s="504"/>
      <c r="Q106" s="504"/>
      <c r="R106" s="504"/>
    </row>
    <row r="107" spans="2:18" s="17" customFormat="1">
      <c r="B107" s="1030" t="s">
        <v>99</v>
      </c>
      <c r="C107" s="1030"/>
      <c r="D107" s="1030"/>
      <c r="E107" s="1030"/>
      <c r="F107" s="1030"/>
      <c r="G107" s="1030"/>
      <c r="H107" s="1030"/>
      <c r="I107" s="1030"/>
      <c r="J107" s="259">
        <f>J96+J86+J60+J49</f>
        <v>0.61480000000000001</v>
      </c>
      <c r="K107" s="520">
        <f>K96+K86+K60+K49</f>
        <v>1489.9584006266666</v>
      </c>
      <c r="L107" s="29"/>
      <c r="N107" s="503"/>
      <c r="O107" s="504"/>
      <c r="P107" s="504"/>
      <c r="Q107" s="504"/>
      <c r="R107" s="504"/>
    </row>
    <row r="108" spans="2:18" s="17" customFormat="1">
      <c r="B108" s="1058"/>
      <c r="C108" s="1028"/>
      <c r="D108" s="1028"/>
      <c r="E108" s="1028"/>
      <c r="F108" s="1028"/>
      <c r="G108" s="1028"/>
      <c r="H108" s="1028"/>
      <c r="I108" s="1028"/>
      <c r="J108" s="1028"/>
      <c r="K108" s="1029"/>
      <c r="L108" s="29"/>
      <c r="N108" s="503"/>
      <c r="O108" s="504"/>
      <c r="P108" s="504"/>
      <c r="Q108" s="504"/>
      <c r="R108" s="504"/>
    </row>
    <row r="109" spans="2:18" s="17" customFormat="1">
      <c r="B109" s="1030" t="s">
        <v>69</v>
      </c>
      <c r="C109" s="1030"/>
      <c r="D109" s="1030"/>
      <c r="E109" s="1030"/>
      <c r="F109" s="1030"/>
      <c r="G109" s="1030"/>
      <c r="H109" s="1030"/>
      <c r="I109" s="1030"/>
      <c r="J109" s="1030"/>
      <c r="K109" s="1030"/>
      <c r="L109" s="29"/>
      <c r="N109" s="503"/>
      <c r="O109" s="504"/>
      <c r="P109" s="504"/>
      <c r="Q109" s="504"/>
      <c r="R109" s="504"/>
    </row>
    <row r="110" spans="2:18" s="17" customFormat="1">
      <c r="B110" s="502">
        <v>5</v>
      </c>
      <c r="C110" s="1055" t="s">
        <v>16</v>
      </c>
      <c r="D110" s="1056"/>
      <c r="E110" s="1056"/>
      <c r="F110" s="1056"/>
      <c r="G110" s="1056"/>
      <c r="H110" s="1056"/>
      <c r="I110" s="1056"/>
      <c r="J110" s="1057"/>
      <c r="K110" s="502" t="s">
        <v>1</v>
      </c>
      <c r="L110" s="29"/>
      <c r="N110" s="503"/>
      <c r="O110" s="504"/>
      <c r="P110" s="504"/>
      <c r="Q110" s="504"/>
      <c r="R110" s="504"/>
    </row>
    <row r="111" spans="2:18" s="17" customFormat="1">
      <c r="B111" s="489" t="s">
        <v>7</v>
      </c>
      <c r="C111" s="1038" t="s">
        <v>107</v>
      </c>
      <c r="D111" s="1039"/>
      <c r="E111" s="1039"/>
      <c r="F111" s="1039"/>
      <c r="G111" s="1039"/>
      <c r="H111" s="1039"/>
      <c r="I111" s="1040"/>
      <c r="J111" s="238" t="s">
        <v>0</v>
      </c>
      <c r="K111" s="242">
        <f>R20</f>
        <v>68.366666666666674</v>
      </c>
      <c r="L111" s="29"/>
      <c r="N111" s="503"/>
      <c r="O111" s="504"/>
      <c r="P111" s="504"/>
      <c r="Q111" s="504"/>
      <c r="R111" s="504"/>
    </row>
    <row r="112" spans="2:18" s="17" customFormat="1">
      <c r="B112" s="489" t="s">
        <v>8</v>
      </c>
      <c r="C112" s="1038" t="s">
        <v>191</v>
      </c>
      <c r="D112" s="1039"/>
      <c r="E112" s="1039"/>
      <c r="F112" s="1039"/>
      <c r="G112" s="1039"/>
      <c r="H112" s="1039"/>
      <c r="I112" s="1040"/>
      <c r="J112" s="238" t="s">
        <v>0</v>
      </c>
      <c r="K112" s="242">
        <f>R30+R36</f>
        <v>42.233333333333334</v>
      </c>
      <c r="L112" s="29"/>
      <c r="N112" s="503"/>
      <c r="O112" s="504"/>
      <c r="P112" s="504"/>
      <c r="Q112" s="504"/>
      <c r="R112" s="504"/>
    </row>
    <row r="113" spans="2:19" s="17" customFormat="1">
      <c r="B113" s="250" t="s">
        <v>9</v>
      </c>
      <c r="C113" s="1027" t="s">
        <v>192</v>
      </c>
      <c r="D113" s="1027"/>
      <c r="E113" s="1027"/>
      <c r="F113" s="1027"/>
      <c r="G113" s="1027"/>
      <c r="H113" s="1027"/>
      <c r="I113" s="1027"/>
      <c r="J113" s="238" t="s">
        <v>0</v>
      </c>
      <c r="K113" s="242">
        <v>0</v>
      </c>
      <c r="L113" s="29"/>
      <c r="N113" s="503"/>
      <c r="O113" s="504"/>
      <c r="P113" s="504"/>
      <c r="Q113" s="504"/>
      <c r="R113" s="504"/>
    </row>
    <row r="114" spans="2:19" s="17" customFormat="1">
      <c r="B114" s="1083" t="s">
        <v>70</v>
      </c>
      <c r="C114" s="1083"/>
      <c r="D114" s="1083"/>
      <c r="E114" s="1083"/>
      <c r="F114" s="1083"/>
      <c r="G114" s="1083"/>
      <c r="H114" s="1083"/>
      <c r="I114" s="1083"/>
      <c r="J114" s="419" t="s">
        <v>0</v>
      </c>
      <c r="K114" s="415">
        <f>TRUNC(SUM(K111:K113),2)</f>
        <v>110.6</v>
      </c>
      <c r="L114" s="29"/>
      <c r="N114" s="503"/>
      <c r="O114" s="504"/>
      <c r="P114" s="504"/>
      <c r="Q114" s="504"/>
      <c r="R114" s="504"/>
    </row>
    <row r="115" spans="2:19" s="17" customFormat="1">
      <c r="B115" s="1084" t="s">
        <v>71</v>
      </c>
      <c r="C115" s="1084"/>
      <c r="D115" s="1084"/>
      <c r="E115" s="1084"/>
      <c r="F115" s="1084"/>
      <c r="G115" s="1084"/>
      <c r="H115" s="1084"/>
      <c r="I115" s="1084"/>
      <c r="J115" s="1084"/>
      <c r="K115" s="1084"/>
      <c r="L115" s="29"/>
      <c r="N115" s="503"/>
      <c r="O115" s="504"/>
      <c r="P115" s="504"/>
      <c r="Q115" s="504"/>
      <c r="R115" s="504"/>
      <c r="S115" s="128"/>
    </row>
    <row r="116" spans="2:19" s="17" customFormat="1">
      <c r="B116" s="489">
        <v>6</v>
      </c>
      <c r="C116" s="1085" t="s">
        <v>18</v>
      </c>
      <c r="D116" s="1085"/>
      <c r="E116" s="1085"/>
      <c r="F116" s="1085"/>
      <c r="G116" s="1085"/>
      <c r="H116" s="1085"/>
      <c r="I116" s="1085"/>
      <c r="J116" s="489" t="s">
        <v>3</v>
      </c>
      <c r="K116" s="489" t="s">
        <v>1</v>
      </c>
      <c r="N116" s="503"/>
      <c r="O116" s="504"/>
      <c r="P116" s="504"/>
      <c r="Q116" s="504"/>
      <c r="R116" s="504"/>
    </row>
    <row r="117" spans="2:19" s="17" customFormat="1">
      <c r="B117" s="489" t="s">
        <v>7</v>
      </c>
      <c r="C117" s="1044" t="s">
        <v>21</v>
      </c>
      <c r="D117" s="1044"/>
      <c r="E117" s="1044"/>
      <c r="F117" s="1044"/>
      <c r="G117" s="1044"/>
      <c r="H117" s="1044"/>
      <c r="I117" s="1044"/>
      <c r="J117" s="411">
        <v>7.0000000000000007E-2</v>
      </c>
      <c r="K117" s="355">
        <f>TRUNC(J117*K142,2)</f>
        <v>304.66000000000003</v>
      </c>
      <c r="L117" s="25"/>
      <c r="N117" s="503"/>
      <c r="O117" s="504"/>
      <c r="P117" s="504"/>
      <c r="Q117" s="504"/>
      <c r="R117" s="504"/>
    </row>
    <row r="118" spans="2:19" s="17" customFormat="1">
      <c r="B118" s="243" t="s">
        <v>8</v>
      </c>
      <c r="C118" s="1044" t="s">
        <v>4</v>
      </c>
      <c r="D118" s="1044"/>
      <c r="E118" s="1044"/>
      <c r="F118" s="1044"/>
      <c r="G118" s="1044"/>
      <c r="H118" s="1044"/>
      <c r="I118" s="1044"/>
      <c r="J118" s="411">
        <v>7.0000000000000007E-2</v>
      </c>
      <c r="K118" s="355">
        <f>TRUNC(J118*(K117+K142),2)</f>
        <v>325.99</v>
      </c>
      <c r="N118" s="503"/>
      <c r="O118" s="504"/>
      <c r="P118" s="504"/>
      <c r="Q118" s="504"/>
      <c r="R118" s="504"/>
    </row>
    <row r="119" spans="2:19" s="17" customFormat="1">
      <c r="B119" s="500" t="s">
        <v>9</v>
      </c>
      <c r="C119" s="1086" t="s">
        <v>28</v>
      </c>
      <c r="D119" s="1087"/>
      <c r="E119" s="1087"/>
      <c r="F119" s="1087"/>
      <c r="G119" s="1087"/>
      <c r="H119" s="1087"/>
      <c r="I119" s="1087"/>
      <c r="J119" s="1088"/>
      <c r="K119" s="1089"/>
      <c r="L119" s="25">
        <f>K147</f>
        <v>1</v>
      </c>
      <c r="M119" s="16" t="e">
        <f>[1]RESUMO!#REF!</f>
        <v>#REF!</v>
      </c>
      <c r="N119" s="503"/>
      <c r="O119" s="504"/>
      <c r="P119" s="504"/>
      <c r="Q119" s="504"/>
      <c r="R119" s="504"/>
    </row>
    <row r="120" spans="2:19" s="17" customFormat="1">
      <c r="B120" s="243" t="s">
        <v>29</v>
      </c>
      <c r="C120" s="1044" t="s">
        <v>82</v>
      </c>
      <c r="D120" s="1044"/>
      <c r="E120" s="1044"/>
      <c r="F120" s="1044"/>
      <c r="G120" s="1044"/>
      <c r="H120" s="1044"/>
      <c r="I120" s="1044"/>
      <c r="J120" s="245">
        <v>6.4999999999999997E-3</v>
      </c>
      <c r="K120" s="426">
        <f>TRUNC(J120*K131,2)</f>
        <v>35.450000000000003</v>
      </c>
      <c r="N120" s="503"/>
      <c r="O120" s="504"/>
      <c r="P120" s="504"/>
      <c r="Q120" s="504"/>
      <c r="R120" s="504"/>
    </row>
    <row r="121" spans="2:19" s="17" customFormat="1">
      <c r="B121" s="243" t="s">
        <v>29</v>
      </c>
      <c r="C121" s="1044" t="s">
        <v>77</v>
      </c>
      <c r="D121" s="1044"/>
      <c r="E121" s="1044"/>
      <c r="F121" s="1044"/>
      <c r="G121" s="1044"/>
      <c r="H121" s="1044"/>
      <c r="I121" s="1044"/>
      <c r="J121" s="245">
        <v>0.03</v>
      </c>
      <c r="K121" s="426">
        <f>TRUNC(J121*K131,2)</f>
        <v>163.63999999999999</v>
      </c>
      <c r="N121" s="503"/>
      <c r="O121" s="504"/>
      <c r="P121" s="504"/>
      <c r="Q121" s="504"/>
      <c r="R121" s="504"/>
    </row>
    <row r="122" spans="2:19" s="17" customFormat="1">
      <c r="B122" s="243" t="s">
        <v>30</v>
      </c>
      <c r="C122" s="1044" t="s">
        <v>80</v>
      </c>
      <c r="D122" s="1044"/>
      <c r="E122" s="1044"/>
      <c r="F122" s="1044"/>
      <c r="G122" s="1044"/>
      <c r="H122" s="1044"/>
      <c r="I122" s="1044"/>
      <c r="J122" s="247" t="s">
        <v>79</v>
      </c>
      <c r="K122" s="426">
        <v>0</v>
      </c>
      <c r="N122" s="503"/>
      <c r="O122" s="504"/>
      <c r="P122" s="504"/>
      <c r="Q122" s="504"/>
      <c r="R122" s="504"/>
      <c r="S122" s="127"/>
    </row>
    <row r="123" spans="2:19" s="17" customFormat="1">
      <c r="B123" s="243" t="s">
        <v>31</v>
      </c>
      <c r="C123" s="1044" t="s">
        <v>78</v>
      </c>
      <c r="D123" s="1044"/>
      <c r="E123" s="1044"/>
      <c r="F123" s="1044"/>
      <c r="G123" s="1044"/>
      <c r="H123" s="1044"/>
      <c r="I123" s="1044"/>
      <c r="J123" s="245">
        <v>0.05</v>
      </c>
      <c r="K123" s="426">
        <f>TRUNC(J123*K131,2)</f>
        <v>272.74</v>
      </c>
      <c r="N123" s="503"/>
      <c r="O123" s="504"/>
      <c r="P123" s="504"/>
      <c r="Q123" s="504"/>
      <c r="R123" s="504"/>
    </row>
    <row r="124" spans="2:19" s="17" customFormat="1">
      <c r="B124" s="1080" t="s">
        <v>72</v>
      </c>
      <c r="C124" s="1080"/>
      <c r="D124" s="1080"/>
      <c r="E124" s="1080"/>
      <c r="F124" s="1080"/>
      <c r="G124" s="1080"/>
      <c r="H124" s="1080"/>
      <c r="I124" s="1080"/>
      <c r="J124" s="420">
        <f>SUM(J117:J123)</f>
        <v>0.22650000000000003</v>
      </c>
      <c r="K124" s="523">
        <f>TRUNC(SUM(K117:K123),2)</f>
        <v>1102.48</v>
      </c>
      <c r="N124" s="503"/>
      <c r="O124" s="504"/>
      <c r="P124" s="504"/>
      <c r="Q124" s="504"/>
      <c r="R124" s="504"/>
    </row>
    <row r="125" spans="2:19" s="17" customFormat="1">
      <c r="B125" s="291"/>
      <c r="C125" s="487"/>
      <c r="D125" s="1081"/>
      <c r="E125" s="1081"/>
      <c r="F125" s="1081"/>
      <c r="G125" s="1081"/>
      <c r="H125" s="1081"/>
      <c r="I125" s="1081"/>
      <c r="J125" s="1081"/>
      <c r="K125" s="1082"/>
      <c r="M125" s="21"/>
      <c r="N125" s="503"/>
      <c r="O125" s="504"/>
      <c r="P125" s="504"/>
      <c r="Q125" s="504"/>
      <c r="R125" s="504"/>
    </row>
    <row r="126" spans="2:19" s="17" customFormat="1">
      <c r="B126" s="300" t="s">
        <v>32</v>
      </c>
      <c r="C126" s="301"/>
      <c r="D126" s="1071" t="s">
        <v>33</v>
      </c>
      <c r="E126" s="1071"/>
      <c r="F126" s="1071"/>
      <c r="G126" s="1071"/>
      <c r="H126" s="1071"/>
      <c r="I126" s="1072"/>
      <c r="J126" s="1073">
        <f>TRUNC(J120+J121+J123,4)</f>
        <v>8.6499999999999994E-2</v>
      </c>
      <c r="K126" s="1074"/>
      <c r="N126" s="503"/>
      <c r="O126" s="504"/>
      <c r="P126" s="504"/>
      <c r="Q126" s="504"/>
      <c r="R126" s="504"/>
    </row>
    <row r="127" spans="2:19" s="17" customFormat="1">
      <c r="B127" s="233"/>
      <c r="C127" s="302"/>
      <c r="D127" s="1077">
        <v>100</v>
      </c>
      <c r="E127" s="1078"/>
      <c r="F127" s="1078"/>
      <c r="G127" s="1078"/>
      <c r="H127" s="1078"/>
      <c r="I127" s="1079"/>
      <c r="J127" s="1075"/>
      <c r="K127" s="1076"/>
      <c r="M127" s="34"/>
      <c r="N127" s="503"/>
      <c r="O127" s="504"/>
      <c r="P127" s="504"/>
      <c r="Q127" s="504"/>
      <c r="R127" s="504"/>
    </row>
    <row r="128" spans="2:19" s="17" customFormat="1">
      <c r="B128" s="311"/>
      <c r="C128" s="310"/>
      <c r="D128" s="496"/>
      <c r="E128" s="496"/>
      <c r="F128" s="496"/>
      <c r="G128" s="496"/>
      <c r="H128" s="496"/>
      <c r="I128" s="497"/>
      <c r="J128" s="498"/>
      <c r="K128" s="413"/>
      <c r="N128" s="503"/>
      <c r="O128" s="504"/>
      <c r="P128" s="504"/>
      <c r="Q128" s="504"/>
      <c r="R128" s="504"/>
    </row>
    <row r="129" spans="2:18" s="17" customFormat="1">
      <c r="B129" s="233" t="s">
        <v>34</v>
      </c>
      <c r="C129" s="302"/>
      <c r="D129" s="1078" t="s">
        <v>73</v>
      </c>
      <c r="E129" s="1078"/>
      <c r="F129" s="1078"/>
      <c r="G129" s="1078"/>
      <c r="H129" s="1078"/>
      <c r="I129" s="1079"/>
      <c r="J129" s="499"/>
      <c r="K129" s="429">
        <f>TRUNC(K142+K117+K118,2)</f>
        <v>4983.05</v>
      </c>
      <c r="N129" s="503"/>
      <c r="O129" s="504"/>
      <c r="P129" s="504"/>
      <c r="Q129" s="504"/>
      <c r="R129" s="504"/>
    </row>
    <row r="130" spans="2:18" s="17" customFormat="1">
      <c r="B130" s="300"/>
      <c r="C130" s="301"/>
      <c r="D130" s="496"/>
      <c r="E130" s="496"/>
      <c r="F130" s="496"/>
      <c r="G130" s="496"/>
      <c r="H130" s="496"/>
      <c r="I130" s="497"/>
      <c r="J130" s="498"/>
      <c r="K130" s="414"/>
      <c r="N130" s="503"/>
      <c r="O130" s="504"/>
      <c r="P130" s="504"/>
      <c r="Q130" s="504"/>
      <c r="R130" s="504"/>
    </row>
    <row r="131" spans="2:18" s="17" customFormat="1">
      <c r="B131" s="233" t="s">
        <v>35</v>
      </c>
      <c r="C131" s="302"/>
      <c r="D131" s="1078" t="s">
        <v>36</v>
      </c>
      <c r="E131" s="1078"/>
      <c r="F131" s="1078"/>
      <c r="G131" s="1078"/>
      <c r="H131" s="1078"/>
      <c r="I131" s="1079"/>
      <c r="J131" s="499"/>
      <c r="K131" s="429">
        <f>K129/(1-J126)</f>
        <v>5454.8987411056378</v>
      </c>
      <c r="M131" s="34"/>
      <c r="N131" s="503"/>
      <c r="O131" s="504"/>
      <c r="P131" s="504"/>
      <c r="Q131" s="504"/>
      <c r="R131" s="504"/>
    </row>
    <row r="132" spans="2:18" s="17" customFormat="1">
      <c r="B132" s="492"/>
      <c r="C132" s="301"/>
      <c r="D132" s="496"/>
      <c r="E132" s="496"/>
      <c r="F132" s="496"/>
      <c r="G132" s="496"/>
      <c r="H132" s="496"/>
      <c r="I132" s="497"/>
      <c r="J132" s="498"/>
      <c r="K132" s="414"/>
      <c r="M132" s="34"/>
      <c r="N132" s="503"/>
      <c r="O132" s="504"/>
      <c r="P132" s="504"/>
      <c r="Q132" s="504"/>
      <c r="R132" s="504"/>
    </row>
    <row r="133" spans="2:18" s="17" customFormat="1">
      <c r="B133" s="291"/>
      <c r="C133" s="302"/>
      <c r="D133" s="1078" t="s">
        <v>37</v>
      </c>
      <c r="E133" s="1078"/>
      <c r="F133" s="1078"/>
      <c r="G133" s="1078"/>
      <c r="H133" s="1078"/>
      <c r="I133" s="1079"/>
      <c r="J133" s="499"/>
      <c r="K133" s="429">
        <f>TRUNC(K131-K129,2)</f>
        <v>471.84</v>
      </c>
      <c r="N133" s="503"/>
      <c r="O133" s="504"/>
      <c r="P133" s="504"/>
      <c r="Q133" s="504"/>
      <c r="R133" s="504"/>
    </row>
    <row r="134" spans="2:18" s="17" customFormat="1">
      <c r="B134" s="291"/>
      <c r="C134" s="487"/>
      <c r="D134" s="487"/>
      <c r="E134" s="487"/>
      <c r="F134" s="487"/>
      <c r="G134" s="487"/>
      <c r="H134" s="487"/>
      <c r="I134" s="487"/>
      <c r="J134" s="487"/>
      <c r="K134" s="295"/>
      <c r="M134" s="21"/>
      <c r="N134" s="503"/>
      <c r="O134" s="504"/>
      <c r="P134" s="504"/>
      <c r="Q134" s="504"/>
      <c r="R134" s="504"/>
    </row>
    <row r="135" spans="2:18" s="17" customFormat="1">
      <c r="B135" s="1064" t="s">
        <v>83</v>
      </c>
      <c r="C135" s="1064"/>
      <c r="D135" s="1064"/>
      <c r="E135" s="1064"/>
      <c r="F135" s="1064"/>
      <c r="G135" s="1064"/>
      <c r="H135" s="1064"/>
      <c r="I135" s="1064"/>
      <c r="J135" s="1064"/>
      <c r="K135" s="1064"/>
      <c r="N135" s="503"/>
      <c r="O135" s="504"/>
      <c r="P135" s="504"/>
      <c r="Q135" s="504"/>
      <c r="R135" s="504"/>
    </row>
    <row r="136" spans="2:18" s="17" customFormat="1">
      <c r="B136" s="1065" t="s">
        <v>22</v>
      </c>
      <c r="C136" s="1065"/>
      <c r="D136" s="1065"/>
      <c r="E136" s="1065"/>
      <c r="F136" s="1065"/>
      <c r="G136" s="1065"/>
      <c r="H136" s="1065"/>
      <c r="I136" s="1065"/>
      <c r="J136" s="1065"/>
      <c r="K136" s="500" t="s">
        <v>1</v>
      </c>
      <c r="N136" s="503"/>
      <c r="O136" s="504"/>
      <c r="P136" s="504"/>
      <c r="Q136" s="504"/>
      <c r="R136" s="504"/>
    </row>
    <row r="137" spans="2:18" s="17" customFormat="1">
      <c r="B137" s="238" t="s">
        <v>7</v>
      </c>
      <c r="C137" s="1044" t="str">
        <f>B31</f>
        <v>MÓDULO 1 - COMPOSIÇÃO DA REMUNERAÇÃO</v>
      </c>
      <c r="D137" s="1044"/>
      <c r="E137" s="1044"/>
      <c r="F137" s="1044"/>
      <c r="G137" s="1044"/>
      <c r="H137" s="1044"/>
      <c r="I137" s="1044"/>
      <c r="J137" s="1044"/>
      <c r="K137" s="355">
        <f>K42</f>
        <v>2423.4929333333334</v>
      </c>
      <c r="N137" s="503"/>
      <c r="O137" s="504"/>
      <c r="P137" s="504"/>
      <c r="Q137" s="504"/>
      <c r="R137" s="504"/>
    </row>
    <row r="138" spans="2:18" s="17" customFormat="1">
      <c r="B138" s="240" t="s">
        <v>8</v>
      </c>
      <c r="C138" s="1044" t="str">
        <f>B45</f>
        <v>MÓDULO 2 – ENCARGOS E BENEFÍCIOS ANUAIS, MENSAIS E DIÁRIOS</v>
      </c>
      <c r="D138" s="1044"/>
      <c r="E138" s="1044"/>
      <c r="F138" s="1044"/>
      <c r="G138" s="1044"/>
      <c r="H138" s="1044"/>
      <c r="I138" s="1044"/>
      <c r="J138" s="1044"/>
      <c r="K138" s="426">
        <f>K77</f>
        <v>1451.26</v>
      </c>
      <c r="N138" s="503">
        <v>5218.5</v>
      </c>
      <c r="O138" s="504"/>
      <c r="P138" s="504"/>
      <c r="Q138" s="504"/>
      <c r="R138" s="504"/>
    </row>
    <row r="139" spans="2:18" s="17" customFormat="1">
      <c r="B139" s="240" t="s">
        <v>9</v>
      </c>
      <c r="C139" s="1044" t="str">
        <f>B78</f>
        <v>MÓDULO 3 – PROVISÃO PARA RESCISÃO</v>
      </c>
      <c r="D139" s="1044"/>
      <c r="E139" s="1044"/>
      <c r="F139" s="1044"/>
      <c r="G139" s="1044"/>
      <c r="H139" s="1044"/>
      <c r="I139" s="1044"/>
      <c r="J139" s="1044"/>
      <c r="K139" s="426">
        <f>K86</f>
        <v>137.41</v>
      </c>
      <c r="N139" s="503">
        <f>N138*2</f>
        <v>10437</v>
      </c>
      <c r="O139" s="504">
        <v>10437</v>
      </c>
      <c r="P139" s="504"/>
      <c r="Q139" s="504"/>
      <c r="R139" s="504"/>
    </row>
    <row r="140" spans="2:18" s="17" customFormat="1">
      <c r="B140" s="238" t="s">
        <v>10</v>
      </c>
      <c r="C140" s="1044" t="str">
        <f>B88</f>
        <v>MÓDULO 4 – CUSTO DE REPOSIÇÃO DO PROFISSIONAL AUSENTE</v>
      </c>
      <c r="D140" s="1044"/>
      <c r="E140" s="1044"/>
      <c r="F140" s="1044"/>
      <c r="G140" s="1044"/>
      <c r="H140" s="1044"/>
      <c r="I140" s="1044"/>
      <c r="J140" s="1044"/>
      <c r="K140" s="426">
        <f>K106</f>
        <v>229.64</v>
      </c>
      <c r="N140" s="503">
        <f>N139*2</f>
        <v>20874</v>
      </c>
      <c r="O140" s="504"/>
      <c r="P140" s="504"/>
      <c r="Q140" s="504"/>
      <c r="R140" s="504"/>
    </row>
    <row r="141" spans="2:18" s="17" customFormat="1" ht="15.75" thickBot="1">
      <c r="B141" s="424" t="s">
        <v>11</v>
      </c>
      <c r="C141" s="1061" t="str">
        <f>B109</f>
        <v>MÓDULO 5 – INSUMOS DIVERSOS</v>
      </c>
      <c r="D141" s="1061"/>
      <c r="E141" s="1061"/>
      <c r="F141" s="1061"/>
      <c r="G141" s="1061"/>
      <c r="H141" s="1061"/>
      <c r="I141" s="1061"/>
      <c r="J141" s="1061"/>
      <c r="K141" s="427">
        <f>K114</f>
        <v>110.6</v>
      </c>
      <c r="N141" s="503">
        <f>N140*12</f>
        <v>250488</v>
      </c>
      <c r="O141" s="504"/>
      <c r="P141" s="504"/>
      <c r="Q141" s="504"/>
      <c r="R141" s="504"/>
    </row>
    <row r="142" spans="2:18" s="17" customFormat="1">
      <c r="B142" s="1062" t="s">
        <v>74</v>
      </c>
      <c r="C142" s="1063"/>
      <c r="D142" s="1063"/>
      <c r="E142" s="1063"/>
      <c r="F142" s="1063"/>
      <c r="G142" s="1063"/>
      <c r="H142" s="1063"/>
      <c r="I142" s="1063"/>
      <c r="J142" s="1063"/>
      <c r="K142" s="430">
        <f>TRUNC(SUM(K137:K141),2)</f>
        <v>4352.3999999999996</v>
      </c>
      <c r="L142" s="16"/>
      <c r="M142" s="34">
        <v>4822.8100000000004</v>
      </c>
      <c r="N142" s="503"/>
      <c r="O142" s="504"/>
      <c r="P142" s="504"/>
      <c r="Q142" s="504"/>
      <c r="R142" s="504"/>
    </row>
    <row r="143" spans="2:18" s="17" customFormat="1" ht="15.75" thickBot="1">
      <c r="B143" s="425" t="s">
        <v>13</v>
      </c>
      <c r="C143" s="1061" t="str">
        <f>B115</f>
        <v>MÓDULO 6 – CUSTOS INDIRETOS, TRIBUTOS E LUCRO</v>
      </c>
      <c r="D143" s="1061"/>
      <c r="E143" s="1061"/>
      <c r="F143" s="1061"/>
      <c r="G143" s="1061"/>
      <c r="H143" s="1061"/>
      <c r="I143" s="1061"/>
      <c r="J143" s="1061"/>
      <c r="K143" s="428">
        <f>K124</f>
        <v>1102.48</v>
      </c>
      <c r="M143" s="36">
        <v>7</v>
      </c>
      <c r="N143" s="503"/>
      <c r="O143" s="504"/>
      <c r="P143" s="504"/>
      <c r="Q143" s="504"/>
      <c r="R143" s="504"/>
    </row>
    <row r="144" spans="2:18" s="17" customFormat="1">
      <c r="B144" s="1064" t="s">
        <v>75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f>(K142+K118+K117)/(1-J126)</f>
        <v>5454.8987411056369</v>
      </c>
      <c r="M144" s="34">
        <f>M142*M143</f>
        <v>33759.670000000006</v>
      </c>
      <c r="N144" s="503"/>
      <c r="O144" s="504"/>
      <c r="P144" s="504"/>
      <c r="Q144" s="504"/>
      <c r="R144" s="504"/>
    </row>
    <row r="145" spans="2:18" s="17" customFormat="1">
      <c r="B145" s="1064" t="s">
        <v>100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v>2</v>
      </c>
      <c r="M145" s="34"/>
      <c r="N145" s="503"/>
      <c r="O145" s="504"/>
      <c r="P145" s="504"/>
      <c r="Q145" s="504"/>
      <c r="R145" s="504"/>
    </row>
    <row r="146" spans="2:18" s="17" customFormat="1">
      <c r="B146" s="1064" t="s">
        <v>143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K144*K145</f>
        <v>10909.797482211274</v>
      </c>
      <c r="M146" s="34"/>
      <c r="N146" s="503"/>
      <c r="O146" s="504"/>
      <c r="P146" s="504"/>
      <c r="Q146" s="504"/>
      <c r="R146" s="504"/>
    </row>
    <row r="147" spans="2:18" s="17" customFormat="1">
      <c r="B147" s="1064" t="s">
        <v>122</v>
      </c>
      <c r="C147" s="1064"/>
      <c r="D147" s="1064"/>
      <c r="E147" s="1064"/>
      <c r="F147" s="1064"/>
      <c r="G147" s="1064"/>
      <c r="H147" s="1064"/>
      <c r="I147" s="1064"/>
      <c r="J147" s="1064"/>
      <c r="K147" s="347">
        <v>1</v>
      </c>
      <c r="M147" s="34">
        <f>M144*12</f>
        <v>405116.04000000004</v>
      </c>
      <c r="N147" s="503"/>
      <c r="O147" s="504"/>
      <c r="P147" s="504"/>
      <c r="Q147" s="504"/>
      <c r="R147" s="504"/>
    </row>
    <row r="148" spans="2:18" s="17" customFormat="1">
      <c r="B148" s="1064" t="s">
        <v>144</v>
      </c>
      <c r="C148" s="1064"/>
      <c r="D148" s="1064"/>
      <c r="E148" s="1064"/>
      <c r="F148" s="1064"/>
      <c r="G148" s="1064"/>
      <c r="H148" s="1064"/>
      <c r="I148" s="1064"/>
      <c r="J148" s="1064"/>
      <c r="K148" s="347">
        <f>K146*K147</f>
        <v>10909.797482211274</v>
      </c>
      <c r="N148" s="503"/>
      <c r="O148" s="504"/>
      <c r="P148" s="504"/>
      <c r="Q148" s="504"/>
      <c r="R148" s="504"/>
    </row>
    <row r="149" spans="2:18" s="17" customFormat="1" ht="15" customHeight="1">
      <c r="B149" s="1064" t="s">
        <v>145</v>
      </c>
      <c r="C149" s="1064"/>
      <c r="D149" s="1064"/>
      <c r="E149" s="1064"/>
      <c r="F149" s="1064"/>
      <c r="G149" s="1064"/>
      <c r="H149" s="1064"/>
      <c r="I149" s="1064"/>
      <c r="J149" s="1064"/>
      <c r="K149" s="347">
        <f>K148*12</f>
        <v>130917.56978653528</v>
      </c>
      <c r="L149" s="412" t="e">
        <f>K144+#REF!</f>
        <v>#REF!</v>
      </c>
      <c r="N149" s="503"/>
      <c r="O149" s="504"/>
      <c r="P149" s="504"/>
      <c r="Q149" s="504"/>
      <c r="R149" s="504"/>
    </row>
    <row r="150" spans="2:18" s="17" customFormat="1">
      <c r="B150" s="1053"/>
      <c r="C150" s="1053"/>
      <c r="D150" s="1053"/>
      <c r="E150" s="1053"/>
      <c r="F150" s="1053"/>
      <c r="G150" s="1053"/>
      <c r="H150" s="1053"/>
      <c r="I150" s="1053"/>
      <c r="J150" s="1053"/>
      <c r="K150" s="1053"/>
      <c r="N150" s="503"/>
      <c r="O150" s="504"/>
      <c r="P150" s="504"/>
      <c r="Q150" s="504"/>
      <c r="R150" s="504"/>
    </row>
    <row r="151" spans="2:18" s="17" customFormat="1">
      <c r="B151" s="234"/>
      <c r="C151" s="421"/>
      <c r="D151" s="421"/>
      <c r="E151" s="421"/>
      <c r="F151" s="421"/>
      <c r="G151" s="421"/>
      <c r="H151" s="421"/>
      <c r="I151" s="421"/>
      <c r="J151" s="421"/>
      <c r="K151" s="421"/>
      <c r="N151" s="503"/>
      <c r="O151" s="504"/>
      <c r="P151" s="504"/>
      <c r="Q151" s="504"/>
      <c r="R151" s="504"/>
    </row>
    <row r="152" spans="2:18" ht="15.75">
      <c r="B152" s="422"/>
      <c r="C152" s="422"/>
      <c r="D152" s="422"/>
      <c r="E152" s="422"/>
      <c r="F152" s="422"/>
      <c r="G152" s="422"/>
      <c r="H152" s="524"/>
      <c r="I152" s="524"/>
      <c r="J152" s="524"/>
      <c r="K152" s="524"/>
    </row>
    <row r="153" spans="2:18" ht="15.75">
      <c r="B153" s="422"/>
      <c r="C153" s="422"/>
      <c r="D153" s="422"/>
      <c r="E153" s="422"/>
      <c r="F153" s="422"/>
      <c r="G153" s="422"/>
      <c r="H153" s="524"/>
      <c r="I153" s="524"/>
      <c r="J153" s="524"/>
      <c r="K153" s="524"/>
    </row>
    <row r="154" spans="2:18" ht="15.75">
      <c r="B154" s="422"/>
      <c r="C154" s="422"/>
      <c r="D154" s="422"/>
      <c r="E154" s="422"/>
      <c r="F154" s="422"/>
      <c r="G154" s="422"/>
      <c r="H154" s="1059" t="s">
        <v>241</v>
      </c>
      <c r="I154" s="1059"/>
      <c r="J154" s="1059"/>
      <c r="K154" s="1059"/>
    </row>
    <row r="155" spans="2:18" ht="15.75">
      <c r="B155" s="422"/>
      <c r="C155" s="422"/>
      <c r="D155" s="422"/>
      <c r="E155" s="422"/>
      <c r="F155" s="422"/>
      <c r="G155" s="422"/>
      <c r="H155" s="1060" t="s">
        <v>242</v>
      </c>
      <c r="I155" s="1060"/>
      <c r="J155" s="1060"/>
      <c r="K155" s="1060"/>
    </row>
    <row r="156" spans="2:18">
      <c r="B156" s="422"/>
      <c r="C156" s="422"/>
      <c r="D156" s="422"/>
      <c r="E156" s="422"/>
      <c r="F156" s="422"/>
      <c r="G156" s="422"/>
      <c r="H156" s="422"/>
      <c r="I156" s="422"/>
      <c r="J156" s="422"/>
      <c r="K156" s="422"/>
    </row>
  </sheetData>
  <mergeCells count="164">
    <mergeCell ref="B147:J147"/>
    <mergeCell ref="B148:J148"/>
    <mergeCell ref="B149:J149"/>
    <mergeCell ref="B150:K150"/>
    <mergeCell ref="H154:K154"/>
    <mergeCell ref="H155:K155"/>
    <mergeCell ref="C141:J141"/>
    <mergeCell ref="B142:J142"/>
    <mergeCell ref="C143:J143"/>
    <mergeCell ref="B144:J144"/>
    <mergeCell ref="B145:J145"/>
    <mergeCell ref="B146:J146"/>
    <mergeCell ref="B135:K135"/>
    <mergeCell ref="B136:J136"/>
    <mergeCell ref="C137:J137"/>
    <mergeCell ref="C138:J138"/>
    <mergeCell ref="C139:J139"/>
    <mergeCell ref="C140:J140"/>
    <mergeCell ref="D126:I126"/>
    <mergeCell ref="J126:K127"/>
    <mergeCell ref="D127:I127"/>
    <mergeCell ref="D129:I129"/>
    <mergeCell ref="D131:I131"/>
    <mergeCell ref="D133:I133"/>
    <mergeCell ref="C120:I120"/>
    <mergeCell ref="C121:I121"/>
    <mergeCell ref="C122:I122"/>
    <mergeCell ref="C123:I123"/>
    <mergeCell ref="B124:I124"/>
    <mergeCell ref="D125:K125"/>
    <mergeCell ref="B114:I114"/>
    <mergeCell ref="B115:K115"/>
    <mergeCell ref="C116:I116"/>
    <mergeCell ref="C117:I117"/>
    <mergeCell ref="C118:I118"/>
    <mergeCell ref="C119:K119"/>
    <mergeCell ref="B108:K108"/>
    <mergeCell ref="B109:K109"/>
    <mergeCell ref="C110:J110"/>
    <mergeCell ref="C111:I111"/>
    <mergeCell ref="C112:I112"/>
    <mergeCell ref="C113:I113"/>
    <mergeCell ref="B102:K102"/>
    <mergeCell ref="B103:J103"/>
    <mergeCell ref="C104:J104"/>
    <mergeCell ref="C105:J105"/>
    <mergeCell ref="B106:J106"/>
    <mergeCell ref="B107:I107"/>
    <mergeCell ref="C95:I95"/>
    <mergeCell ref="B96:I96"/>
    <mergeCell ref="B97:K97"/>
    <mergeCell ref="B98:J98"/>
    <mergeCell ref="C99:J99"/>
    <mergeCell ref="B100:J100"/>
    <mergeCell ref="B89:I89"/>
    <mergeCell ref="C90:I90"/>
    <mergeCell ref="C91:I91"/>
    <mergeCell ref="C92:I92"/>
    <mergeCell ref="C93:I93"/>
    <mergeCell ref="C94:I94"/>
    <mergeCell ref="C83:I83"/>
    <mergeCell ref="C84:I84"/>
    <mergeCell ref="C85:I85"/>
    <mergeCell ref="B86:I86"/>
    <mergeCell ref="C87:K87"/>
    <mergeCell ref="B88:K88"/>
    <mergeCell ref="C77:J77"/>
    <mergeCell ref="B78:K78"/>
    <mergeCell ref="C79:I79"/>
    <mergeCell ref="C80:I80"/>
    <mergeCell ref="C81:I81"/>
    <mergeCell ref="C82:I82"/>
    <mergeCell ref="C71:K71"/>
    <mergeCell ref="B72:K72"/>
    <mergeCell ref="B73:J73"/>
    <mergeCell ref="C74:J74"/>
    <mergeCell ref="C75:J75"/>
    <mergeCell ref="C76:J76"/>
    <mergeCell ref="C65:I65"/>
    <mergeCell ref="C66:I66"/>
    <mergeCell ref="C67:I67"/>
    <mergeCell ref="C68:I68"/>
    <mergeCell ref="C69:I69"/>
    <mergeCell ref="B70:J70"/>
    <mergeCell ref="B62:I62"/>
    <mergeCell ref="J62:K62"/>
    <mergeCell ref="B63:B64"/>
    <mergeCell ref="C63:E64"/>
    <mergeCell ref="J63:J64"/>
    <mergeCell ref="K63:K64"/>
    <mergeCell ref="C56:I56"/>
    <mergeCell ref="C57:I57"/>
    <mergeCell ref="C58:I58"/>
    <mergeCell ref="C59:I59"/>
    <mergeCell ref="B60:I60"/>
    <mergeCell ref="C61:K61"/>
    <mergeCell ref="B50:K50"/>
    <mergeCell ref="B51:I51"/>
    <mergeCell ref="C52:I52"/>
    <mergeCell ref="C53:I53"/>
    <mergeCell ref="C54:I54"/>
    <mergeCell ref="C55:I55"/>
    <mergeCell ref="O43:R43"/>
    <mergeCell ref="B45:K45"/>
    <mergeCell ref="B46:I46"/>
    <mergeCell ref="C47:I47"/>
    <mergeCell ref="C48:I48"/>
    <mergeCell ref="B49:I49"/>
    <mergeCell ref="D38:I38"/>
    <mergeCell ref="D39:I39"/>
    <mergeCell ref="C40:I40"/>
    <mergeCell ref="B41:J41"/>
    <mergeCell ref="B42:J42"/>
    <mergeCell ref="O42:R42"/>
    <mergeCell ref="C33:I33"/>
    <mergeCell ref="C34:I34"/>
    <mergeCell ref="C35:I35"/>
    <mergeCell ref="C36:I36"/>
    <mergeCell ref="N36:Q36"/>
    <mergeCell ref="D37:I37"/>
    <mergeCell ref="C28:J28"/>
    <mergeCell ref="C29:J29"/>
    <mergeCell ref="C30:K30"/>
    <mergeCell ref="N30:Q30"/>
    <mergeCell ref="B31:K31"/>
    <mergeCell ref="C32:I32"/>
    <mergeCell ref="N32:R32"/>
    <mergeCell ref="B22:K22"/>
    <mergeCell ref="N22:R22"/>
    <mergeCell ref="B24:K24"/>
    <mergeCell ref="C25:J25"/>
    <mergeCell ref="C26:J26"/>
    <mergeCell ref="C27:J27"/>
    <mergeCell ref="B17:K17"/>
    <mergeCell ref="B19:G19"/>
    <mergeCell ref="I19:K19"/>
    <mergeCell ref="B20:G20"/>
    <mergeCell ref="I20:K20"/>
    <mergeCell ref="N20:Q20"/>
    <mergeCell ref="C13:G13"/>
    <mergeCell ref="H13:K13"/>
    <mergeCell ref="C14:G14"/>
    <mergeCell ref="H14:K14"/>
    <mergeCell ref="C15:G15"/>
    <mergeCell ref="H15:K15"/>
    <mergeCell ref="C8:G8"/>
    <mergeCell ref="H8:K8"/>
    <mergeCell ref="H9:K9"/>
    <mergeCell ref="B10:K10"/>
    <mergeCell ref="B11:K11"/>
    <mergeCell ref="C12:G12"/>
    <mergeCell ref="H12:K12"/>
    <mergeCell ref="B4:K4"/>
    <mergeCell ref="B5:K5"/>
    <mergeCell ref="N5:R5"/>
    <mergeCell ref="H6:K6"/>
    <mergeCell ref="C7:G7"/>
    <mergeCell ref="H7:K7"/>
    <mergeCell ref="B1:K1"/>
    <mergeCell ref="N1:R1"/>
    <mergeCell ref="B2:K2"/>
    <mergeCell ref="N2:R2"/>
    <mergeCell ref="B3:I3"/>
    <mergeCell ref="N3:R3"/>
  </mergeCells>
  <pageMargins left="0.51181102362204722" right="0.51181102362204722" top="0.88" bottom="0.21" header="0.12" footer="0.12"/>
  <pageSetup paperSize="9" scale="64" orientation="portrait" horizontalDpi="360" verticalDpi="360" r:id="rId1"/>
  <headerFooter>
    <oddHeader>&amp;L&amp;G&amp;R&amp;G</oddHead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S155"/>
  <sheetViews>
    <sheetView view="pageBreakPreview" zoomScale="80" zoomScaleNormal="100" zoomScaleSheetLayoutView="80" workbookViewId="0">
      <selection activeCell="A26" sqref="A26:J26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7109375" style="2" hidden="1" customWidth="1"/>
    <col min="13" max="13" width="26.28515625" style="2" hidden="1" customWidth="1"/>
    <col min="14" max="14" width="17.5703125" style="2" hidden="1" customWidth="1"/>
    <col min="15" max="15" width="19" style="2" hidden="1" customWidth="1"/>
    <col min="16" max="16" width="4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6.25" customHeight="1"/>
    <row r="2" spans="1:13" s="6" customFormat="1" ht="14.4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287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203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247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7.75" customHeight="1">
      <c r="A14" s="315">
        <v>1</v>
      </c>
      <c r="B14" s="1007" t="s">
        <v>25</v>
      </c>
      <c r="C14" s="1008"/>
      <c r="D14" s="1008"/>
      <c r="E14" s="1008"/>
      <c r="F14" s="1009"/>
      <c r="G14" s="1010" t="str">
        <f>A7</f>
        <v>VIGILANCIA DESARMADA 12 HORAS DIURNAS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008"/>
      <c r="D15" s="1008"/>
      <c r="E15" s="1008"/>
      <c r="F15" s="1009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008"/>
      <c r="D16" s="1008"/>
      <c r="E16" s="1008"/>
      <c r="F16" s="1009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008"/>
      <c r="D17" s="1008"/>
      <c r="E17" s="1008"/>
      <c r="F17" s="1009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30" t="s">
        <v>76</v>
      </c>
      <c r="B19" s="1030"/>
      <c r="C19" s="1030"/>
      <c r="D19" s="1030"/>
      <c r="E19" s="1030"/>
      <c r="F19" s="1030"/>
      <c r="G19" s="1030"/>
      <c r="H19" s="1030"/>
      <c r="I19" s="1030"/>
      <c r="J19" s="1030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30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DIURNAS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2" t="s">
        <v>81</v>
      </c>
      <c r="C27" s="1033"/>
      <c r="D27" s="1033"/>
      <c r="E27" s="1033"/>
      <c r="F27" s="1033"/>
      <c r="G27" s="1033"/>
      <c r="H27" s="1008"/>
      <c r="I27" s="1009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0</v>
      </c>
      <c r="J37" s="276">
        <f>((J35+J36)/220)*0.2*I37</f>
        <v>0</v>
      </c>
      <c r="K37" s="22"/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0</v>
      </c>
      <c r="J38" s="276">
        <f>I38*14.89</f>
        <v>0</v>
      </c>
      <c r="K38" s="22"/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0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1821.3909999999998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1821.3909999999998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65" t="s">
        <v>47</v>
      </c>
      <c r="B48" s="1065"/>
      <c r="C48" s="1065"/>
      <c r="D48" s="1065"/>
      <c r="E48" s="1065"/>
      <c r="F48" s="1065"/>
      <c r="G48" s="1065"/>
      <c r="H48" s="1065"/>
      <c r="I48" s="395" t="s">
        <v>3</v>
      </c>
      <c r="J48" s="395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151.72187029999998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151.72187029999998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16.815828482309996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320.25956908230995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428.33011381646196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53.541264227057745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64.249517072469288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32.124758536234644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21.416505690823097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12.849903414493857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4.2833011381646191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171.33204552658478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788.12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8.2790499999999998</v>
      </c>
      <c r="L71" s="31"/>
      <c r="Q71" s="25">
        <f>K71*1.5</f>
        <v>12.418575000000001</v>
      </c>
    </row>
    <row r="72" spans="1:19" s="17" customFormat="1" ht="12.75">
      <c r="A72" s="269" t="s">
        <v>12</v>
      </c>
      <c r="B72" s="1235" t="s">
        <v>179</v>
      </c>
      <c r="C72" s="1235"/>
      <c r="D72" s="1235"/>
      <c r="E72" s="1235"/>
      <c r="F72" s="1235"/>
      <c r="G72" s="1235"/>
      <c r="H72" s="1235"/>
      <c r="I72" s="400">
        <f>Q72</f>
        <v>16.5581</v>
      </c>
      <c r="J72" s="271">
        <f>I72</f>
        <v>16.5581</v>
      </c>
      <c r="K72" s="27">
        <f>J43/220</f>
        <v>8.2790499999999998</v>
      </c>
      <c r="L72" s="31"/>
      <c r="Q72" s="25">
        <f>K72*2</f>
        <v>16.5581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484.51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320.25956908230995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788.12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484.51</v>
      </c>
      <c r="K79" s="29"/>
      <c r="L79" s="31"/>
    </row>
    <row r="80" spans="1:19" s="17" customFormat="1" ht="12.75">
      <c r="A80" s="291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1592.88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384">
        <v>4.4999999999999997E-3</v>
      </c>
      <c r="J83" s="246">
        <f>J44*I83</f>
        <v>8.1962594999999983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386">
        <f>I83*I62</f>
        <v>3.5999999999999997E-4</v>
      </c>
      <c r="J84" s="242">
        <f>I84*J44</f>
        <v>0.65570075999999988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36.427819999999997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35.334985400000001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13.003274627200001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36.427819999999997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130.04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30.963646999999998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8.1962594999999983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0.3642782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4.9177556999999998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44.4419404</v>
      </c>
      <c r="K99" s="29"/>
      <c r="L99" s="31"/>
    </row>
    <row r="100" spans="1:12" s="17" customFormat="1" ht="13.5" customHeight="1">
      <c r="A100" s="256" t="s">
        <v>13</v>
      </c>
      <c r="B100" s="1027" t="s">
        <v>165</v>
      </c>
      <c r="C100" s="1027"/>
      <c r="D100" s="1027"/>
      <c r="E100" s="1027"/>
      <c r="F100" s="1027"/>
      <c r="G100" s="1027"/>
      <c r="H100" s="1027"/>
      <c r="I100" s="257"/>
      <c r="J100" s="258"/>
      <c r="K100" s="29"/>
      <c r="L100" s="31"/>
    </row>
    <row r="101" spans="1:12" s="17" customFormat="1" ht="12.75">
      <c r="A101" s="1030" t="s">
        <v>96</v>
      </c>
      <c r="B101" s="1030"/>
      <c r="C101" s="1030"/>
      <c r="D101" s="1030"/>
      <c r="E101" s="1030"/>
      <c r="F101" s="1030"/>
      <c r="G101" s="1030"/>
      <c r="H101" s="1030"/>
      <c r="I101" s="259">
        <f>I99+I100</f>
        <v>2.4400000000000002E-2</v>
      </c>
      <c r="J101" s="260">
        <f>J99+J100</f>
        <v>44.4419404</v>
      </c>
      <c r="K101" s="29"/>
    </row>
    <row r="102" spans="1:12" s="17" customFormat="1" ht="12.75">
      <c r="A102" s="1030" t="s">
        <v>17</v>
      </c>
      <c r="B102" s="1030"/>
      <c r="C102" s="1030"/>
      <c r="D102" s="1030"/>
      <c r="E102" s="1030"/>
      <c r="F102" s="1030"/>
      <c r="G102" s="1030"/>
      <c r="H102" s="1030"/>
      <c r="I102" s="1030"/>
      <c r="J102" s="260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44.4419404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((J35+J36)/180)*1.5*15</f>
        <v>227.67387499999998</v>
      </c>
      <c r="K107" s="29"/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272.11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1282.8615094823099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257" t="s">
        <v>71</v>
      </c>
      <c r="B117" s="1257"/>
      <c r="C117" s="1257"/>
      <c r="D117" s="1257"/>
      <c r="E117" s="1257"/>
      <c r="F117" s="1257"/>
      <c r="G117" s="1257"/>
      <c r="H117" s="1257"/>
      <c r="I117" s="1257"/>
      <c r="J117" s="1257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2.75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411">
        <v>8.6302400000000001E-2</v>
      </c>
      <c r="J119" s="242">
        <f>TRUNC(I119*J144,2)</f>
        <v>337.06</v>
      </c>
      <c r="K119" s="29"/>
      <c r="Q119" s="16"/>
      <c r="R119" s="128"/>
    </row>
    <row r="120" spans="1:18" s="17" customFormat="1" ht="12.75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89">
        <v>7.6499999999999999E-2</v>
      </c>
      <c r="J120" s="242">
        <f>TRUNC(I120*(J119+J144),2)</f>
        <v>324.56</v>
      </c>
      <c r="Q120" s="16"/>
    </row>
    <row r="121" spans="1:18" s="17" customFormat="1" ht="12.75">
      <c r="A121" s="39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32.49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149.99</v>
      </c>
      <c r="K123" s="25">
        <f>J151</f>
        <v>119993.16912972089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3.5" thickBot="1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249.98</v>
      </c>
    </row>
    <row r="126" spans="1:18" s="17" customFormat="1" ht="15.75" thickBot="1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0.24930240000000004</v>
      </c>
      <c r="J126" s="249">
        <f>TRUNC(SUM(J119:J125),2)</f>
        <v>1094.08</v>
      </c>
      <c r="Q126" s="358">
        <f>Q148</f>
        <v>-1509.4307608100735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4567.24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4999.7153804050358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432.47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1821.3909999999998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1592.88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130.04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272.11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3905.62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1094.08</v>
      </c>
      <c r="Q145" s="353" t="s">
        <v>244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4999.7153804050367</v>
      </c>
      <c r="K146" s="16"/>
      <c r="L146" s="34">
        <v>4822.8100000000004</v>
      </c>
      <c r="Q146" s="354">
        <v>8490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  <c r="Q147" s="354">
        <f>J150</f>
        <v>9999.4307608100735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9999.4307608100735</v>
      </c>
      <c r="L148" s="34">
        <f>L146*L147</f>
        <v>33759.670000000006</v>
      </c>
      <c r="Q148" s="354">
        <f>Q146-Q147</f>
        <v>-1509.4307608100735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9999.4307608100735</v>
      </c>
      <c r="L150" s="34"/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119993.16912972089</v>
      </c>
      <c r="L151" s="34">
        <f>L148*12</f>
        <v>405116.04000000004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4" orientation="portrait" r:id="rId1"/>
  <headerFooter>
    <oddHeader>&amp;L&amp;G&amp;R&amp;G</oddHeader>
    <oddFooter xml:space="preserve">&amp;R
</oddFooter>
  </headerFooter>
  <rowBreaks count="2" manualBreakCount="2">
    <brk id="74" max="9" man="1"/>
    <brk id="156" max="9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S155"/>
  <sheetViews>
    <sheetView view="pageBreakPreview" topLeftCell="A132" zoomScale="80" zoomScaleNormal="100" zoomScaleSheetLayoutView="80" workbookViewId="0">
      <selection activeCell="A26" sqref="A26:J26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42578125" style="2" hidden="1" customWidth="1"/>
    <col min="13" max="13" width="9.85546875" style="2" hidden="1" customWidth="1"/>
    <col min="14" max="14" width="7.5703125" style="2" hidden="1" customWidth="1"/>
    <col min="15" max="15" width="10.5703125" style="2" hidden="1" customWidth="1"/>
    <col min="16" max="16" width="19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2.5" customHeight="1"/>
    <row r="2" spans="1:13" s="6" customFormat="1" ht="15.7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342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204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247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8.5" customHeight="1">
      <c r="A14" s="315">
        <v>1</v>
      </c>
      <c r="B14" s="1007" t="s">
        <v>25</v>
      </c>
      <c r="C14" s="1130"/>
      <c r="D14" s="1130"/>
      <c r="E14" s="1130"/>
      <c r="F14" s="1131"/>
      <c r="G14" s="1010" t="str">
        <f>A7</f>
        <v>VIGILANCIA DESARMADA 12 HORAS NOTURNAS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130"/>
      <c r="D15" s="1130"/>
      <c r="E15" s="1130"/>
      <c r="F15" s="1131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130"/>
      <c r="D16" s="1130"/>
      <c r="E16" s="1130"/>
      <c r="F16" s="1131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130"/>
      <c r="D17" s="1130"/>
      <c r="E17" s="1130"/>
      <c r="F17" s="1131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65" t="s">
        <v>76</v>
      </c>
      <c r="B19" s="1065"/>
      <c r="C19" s="1065"/>
      <c r="D19" s="1065"/>
      <c r="E19" s="1065"/>
      <c r="F19" s="1065"/>
      <c r="G19" s="1065"/>
      <c r="H19" s="1065"/>
      <c r="I19" s="1065"/>
      <c r="J19" s="1065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27.75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NOTURNAS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8" t="s">
        <v>81</v>
      </c>
      <c r="C27" s="1039"/>
      <c r="D27" s="1039"/>
      <c r="E27" s="1039"/>
      <c r="F27" s="1039"/>
      <c r="G27" s="1039"/>
      <c r="H27" s="1039"/>
      <c r="I27" s="1040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120</v>
      </c>
      <c r="J37" s="276">
        <f>K37*I37</f>
        <v>199.2</v>
      </c>
      <c r="K37" s="22">
        <v>1.66</v>
      </c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15</v>
      </c>
      <c r="J38" s="276">
        <f>K38*I38</f>
        <v>223.5</v>
      </c>
      <c r="K38" s="22">
        <v>14.9</v>
      </c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70.45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2314.5409999999997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2314.5409999999997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31" t="s">
        <v>47</v>
      </c>
      <c r="B48" s="1031"/>
      <c r="C48" s="1031"/>
      <c r="D48" s="1031"/>
      <c r="E48" s="1031"/>
      <c r="F48" s="1031"/>
      <c r="G48" s="1031"/>
      <c r="H48" s="1031"/>
      <c r="I48" s="399" t="s">
        <v>3</v>
      </c>
      <c r="J48" s="399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192.80126529999998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192.80126529999998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21.368791473809996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406.97132207380997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544.30246441476197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68.037808051845246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81.645369662214293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40.822684831107146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27.215123220738096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16.329073932442856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5.4430246441476191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217.72098576590477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1001.51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10.520640909090908</v>
      </c>
      <c r="L71" s="31"/>
      <c r="Q71" s="25">
        <f>K71*1.5</f>
        <v>15.780961363636361</v>
      </c>
    </row>
    <row r="72" spans="1:19" s="17" customFormat="1" ht="12.75">
      <c r="A72" s="269" t="s">
        <v>12</v>
      </c>
      <c r="B72" s="1235" t="s">
        <v>205</v>
      </c>
      <c r="C72" s="1235"/>
      <c r="D72" s="1235"/>
      <c r="E72" s="1235"/>
      <c r="F72" s="1235"/>
      <c r="G72" s="1235"/>
      <c r="H72" s="1235"/>
      <c r="I72" s="400">
        <v>18.329999999999998</v>
      </c>
      <c r="J72" s="271">
        <f>I72</f>
        <v>18.329999999999998</v>
      </c>
      <c r="K72" s="27">
        <f>J43/220</f>
        <v>10.520640909090908</v>
      </c>
      <c r="L72" s="31"/>
      <c r="Q72" s="25">
        <f>K72*2</f>
        <v>21.041281818181815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486.28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406.97132207380997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1001.51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486.28</v>
      </c>
      <c r="K79" s="29"/>
      <c r="L79" s="31"/>
    </row>
    <row r="80" spans="1:19" s="17" customFormat="1" ht="12.75">
      <c r="A80" s="316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1894.76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384">
        <v>4.4999999999999997E-3</v>
      </c>
      <c r="J83" s="246">
        <f>J44*I83</f>
        <v>10.415434499999998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386">
        <f>I83*I62</f>
        <v>3.5999999999999997E-4</v>
      </c>
      <c r="J84" s="242">
        <f>I84*J44</f>
        <v>0.83323475999999985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46.290819999999997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44.902095399999993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16.523971107200001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46.290819999999997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165.25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39.347197000000001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10.415434499999998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0.46290819999999999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6.2492606999999998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56.474800399999999</v>
      </c>
      <c r="K99" s="29"/>
      <c r="L99" s="31"/>
    </row>
    <row r="100" spans="1:12" s="17" customFormat="1" ht="13.5" customHeight="1">
      <c r="A100" s="410" t="s">
        <v>13</v>
      </c>
      <c r="B100" s="1258" t="s">
        <v>165</v>
      </c>
      <c r="C100" s="1258"/>
      <c r="D100" s="1258"/>
      <c r="E100" s="1258"/>
      <c r="F100" s="1258"/>
      <c r="G100" s="1258"/>
      <c r="H100" s="1258"/>
      <c r="I100" s="349"/>
      <c r="J100" s="350"/>
      <c r="K100" s="29"/>
      <c r="L100" s="31"/>
    </row>
    <row r="101" spans="1:12" s="17" customFormat="1" ht="12.75">
      <c r="A101" s="1065" t="s">
        <v>96</v>
      </c>
      <c r="B101" s="1065"/>
      <c r="C101" s="1065"/>
      <c r="D101" s="1065"/>
      <c r="E101" s="1065"/>
      <c r="F101" s="1065"/>
      <c r="G101" s="1065"/>
      <c r="H101" s="1065"/>
      <c r="I101" s="338">
        <f>I99+I100</f>
        <v>2.4400000000000002E-2</v>
      </c>
      <c r="J101" s="339">
        <f>J99+J100</f>
        <v>56.474800399999999</v>
      </c>
      <c r="K101" s="29"/>
    </row>
    <row r="102" spans="1:12" s="17" customFormat="1" ht="12.75">
      <c r="A102" s="1065" t="s">
        <v>17</v>
      </c>
      <c r="B102" s="1065"/>
      <c r="C102" s="1065"/>
      <c r="D102" s="1065"/>
      <c r="E102" s="1065"/>
      <c r="F102" s="1065"/>
      <c r="G102" s="1065"/>
      <c r="H102" s="1065"/>
      <c r="I102" s="1065"/>
      <c r="J102" s="339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56.474800399999999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(J35+J36+J37)/180*1.5*15</f>
        <v>252.57387499999999</v>
      </c>
      <c r="K107" s="29">
        <v>21.6</v>
      </c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309.04000000000002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1630.20612247381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065" t="s">
        <v>71</v>
      </c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3.5" thickBot="1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352">
        <v>0.04</v>
      </c>
      <c r="J119" s="242">
        <f>TRUNC(I119*J144,2)</f>
        <v>190.91</v>
      </c>
      <c r="K119" s="29"/>
      <c r="Q119" s="16"/>
      <c r="R119" s="128"/>
    </row>
    <row r="120" spans="1:18" s="17" customFormat="1" ht="15.75" thickBot="1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52">
        <v>0.03</v>
      </c>
      <c r="J120" s="242">
        <f>TRUNC(I120*(J119+J144),2)</f>
        <v>148.91</v>
      </c>
      <c r="Q120" s="358">
        <f>Q151</f>
        <v>-813.45374931581864</v>
      </c>
    </row>
    <row r="121" spans="1:18" s="17" customFormat="1" ht="12.75">
      <c r="A121" s="33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36.369999999999997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167.9</v>
      </c>
      <c r="K123" s="25">
        <f>J151</f>
        <v>134321.44499178982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2.75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279.83</v>
      </c>
    </row>
    <row r="126" spans="1:18" s="17" customFormat="1" ht="12.75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0.15650000000000003</v>
      </c>
      <c r="J126" s="249">
        <f>TRUNC(SUM(J119:J125),2)</f>
        <v>823.92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5112.6099999999997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5596.7268746579093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484.11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2314.5409999999997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1894.76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165.25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309.04000000000002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4772.79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823.92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5596.7268746579093</v>
      </c>
      <c r="K146" s="16"/>
      <c r="L146" s="34">
        <v>4822.8100000000004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11193.453749315819</v>
      </c>
      <c r="L148" s="34">
        <f>L146*L147</f>
        <v>33759.670000000006</v>
      </c>
      <c r="Q148" s="353" t="s">
        <v>244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  <c r="Q149" s="354">
        <v>10380</v>
      </c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11193.453749315819</v>
      </c>
      <c r="L150" s="34"/>
      <c r="Q150" s="354">
        <f>J148</f>
        <v>11193.453749315819</v>
      </c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134321.44499178982</v>
      </c>
      <c r="L151" s="34">
        <f>L148*12</f>
        <v>405116.04000000004</v>
      </c>
      <c r="Q151" s="354">
        <f>Q149-Q150</f>
        <v>-813.45374931581864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  <c r="K153" s="25" t="e">
        <f>J148+#REF!</f>
        <v>#REF!</v>
      </c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4" orientation="portrait" r:id="rId1"/>
  <headerFooter>
    <oddHeader>&amp;L&amp;G&amp;R&amp;G</oddHeader>
    <oddFooter xml:space="preserve">&amp;R
</oddFooter>
  </headerFooter>
  <rowBreaks count="1" manualBreakCount="1">
    <brk id="74" max="9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S155"/>
  <sheetViews>
    <sheetView view="pageBreakPreview" topLeftCell="A60" zoomScale="80" zoomScaleNormal="100" zoomScaleSheetLayoutView="80" workbookViewId="0">
      <selection activeCell="A26" sqref="A26:J26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7109375" style="2" hidden="1" customWidth="1"/>
    <col min="13" max="13" width="26.28515625" style="2" hidden="1" customWidth="1"/>
    <col min="14" max="14" width="17.5703125" style="2" hidden="1" customWidth="1"/>
    <col min="15" max="15" width="19" style="2" hidden="1" customWidth="1"/>
    <col min="16" max="16" width="4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6.25" customHeight="1"/>
    <row r="2" spans="1:13" s="6" customFormat="1" ht="14.4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287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203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248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7.75" customHeight="1">
      <c r="A14" s="315">
        <v>1</v>
      </c>
      <c r="B14" s="1007" t="s">
        <v>25</v>
      </c>
      <c r="C14" s="1008"/>
      <c r="D14" s="1008"/>
      <c r="E14" s="1008"/>
      <c r="F14" s="1009"/>
      <c r="G14" s="1010" t="str">
        <f>A7</f>
        <v>VIGILANCIA DESARMADA 12 HORAS DIURNAS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008"/>
      <c r="D15" s="1008"/>
      <c r="E15" s="1008"/>
      <c r="F15" s="1009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008"/>
      <c r="D16" s="1008"/>
      <c r="E16" s="1008"/>
      <c r="F16" s="1009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008"/>
      <c r="D17" s="1008"/>
      <c r="E17" s="1008"/>
      <c r="F17" s="1009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30" t="s">
        <v>76</v>
      </c>
      <c r="B19" s="1030"/>
      <c r="C19" s="1030"/>
      <c r="D19" s="1030"/>
      <c r="E19" s="1030"/>
      <c r="F19" s="1030"/>
      <c r="G19" s="1030"/>
      <c r="H19" s="1030"/>
      <c r="I19" s="1030"/>
      <c r="J19" s="1030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30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DIURNAS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2" t="s">
        <v>81</v>
      </c>
      <c r="C27" s="1033"/>
      <c r="D27" s="1033"/>
      <c r="E27" s="1033"/>
      <c r="F27" s="1033"/>
      <c r="G27" s="1033"/>
      <c r="H27" s="1008"/>
      <c r="I27" s="1009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0</v>
      </c>
      <c r="J37" s="276">
        <f>((J35+J36)/220)*0.2*I37</f>
        <v>0</v>
      </c>
      <c r="K37" s="22"/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0</v>
      </c>
      <c r="J38" s="276">
        <f>I38*14.89</f>
        <v>0</v>
      </c>
      <c r="K38" s="22"/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0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1821.3909999999998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1821.3909999999998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65" t="s">
        <v>47</v>
      </c>
      <c r="B48" s="1065"/>
      <c r="C48" s="1065"/>
      <c r="D48" s="1065"/>
      <c r="E48" s="1065"/>
      <c r="F48" s="1065"/>
      <c r="G48" s="1065"/>
      <c r="H48" s="1065"/>
      <c r="I48" s="395" t="s">
        <v>3</v>
      </c>
      <c r="J48" s="395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151.72187029999998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151.72187029999998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16.815828482309996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320.25956908230995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428.33011381646196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53.541264227057745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64.249517072469288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32.124758536234644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21.416505690823097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12.849903414493857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4.2833011381646191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171.33204552658478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788.12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8.2790499999999998</v>
      </c>
      <c r="L71" s="31"/>
      <c r="Q71" s="25">
        <f>K71*1.5</f>
        <v>12.418575000000001</v>
      </c>
    </row>
    <row r="72" spans="1:19" s="17" customFormat="1" ht="12.75">
      <c r="A72" s="269" t="s">
        <v>12</v>
      </c>
      <c r="B72" s="1235" t="s">
        <v>179</v>
      </c>
      <c r="C72" s="1235"/>
      <c r="D72" s="1235"/>
      <c r="E72" s="1235"/>
      <c r="F72" s="1235"/>
      <c r="G72" s="1235"/>
      <c r="H72" s="1235"/>
      <c r="I72" s="400">
        <f>Q72</f>
        <v>16.5581</v>
      </c>
      <c r="J72" s="271">
        <f>I72</f>
        <v>16.5581</v>
      </c>
      <c r="K72" s="27">
        <f>J43/220</f>
        <v>8.2790499999999998</v>
      </c>
      <c r="L72" s="31"/>
      <c r="Q72" s="25">
        <f>K72*2</f>
        <v>16.5581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484.51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320.25956908230995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788.12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484.51</v>
      </c>
      <c r="K79" s="29"/>
      <c r="L79" s="31"/>
    </row>
    <row r="80" spans="1:19" s="17" customFormat="1" ht="12.75">
      <c r="A80" s="291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1592.88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384">
        <v>4.4999999999999997E-3</v>
      </c>
      <c r="J83" s="246">
        <f>J44*I83</f>
        <v>8.1962594999999983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386">
        <f>I83*I62</f>
        <v>3.5999999999999997E-4</v>
      </c>
      <c r="J84" s="242">
        <f>I84*J44</f>
        <v>0.65570075999999988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36.427819999999997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35.334985400000001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13.003274627200001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36.427819999999997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130.04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30.963646999999998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8.1962594999999983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0.3642782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4.9177556999999998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44.4419404</v>
      </c>
      <c r="K99" s="29"/>
      <c r="L99" s="31"/>
    </row>
    <row r="100" spans="1:12" s="17" customFormat="1" ht="13.5" customHeight="1">
      <c r="A100" s="256" t="s">
        <v>13</v>
      </c>
      <c r="B100" s="1027" t="s">
        <v>165</v>
      </c>
      <c r="C100" s="1027"/>
      <c r="D100" s="1027"/>
      <c r="E100" s="1027"/>
      <c r="F100" s="1027"/>
      <c r="G100" s="1027"/>
      <c r="H100" s="1027"/>
      <c r="I100" s="257"/>
      <c r="J100" s="258"/>
      <c r="K100" s="29"/>
      <c r="L100" s="31"/>
    </row>
    <row r="101" spans="1:12" s="17" customFormat="1" ht="12.75">
      <c r="A101" s="1030" t="s">
        <v>96</v>
      </c>
      <c r="B101" s="1030"/>
      <c r="C101" s="1030"/>
      <c r="D101" s="1030"/>
      <c r="E101" s="1030"/>
      <c r="F101" s="1030"/>
      <c r="G101" s="1030"/>
      <c r="H101" s="1030"/>
      <c r="I101" s="259">
        <f>I99+I100</f>
        <v>2.4400000000000002E-2</v>
      </c>
      <c r="J101" s="260">
        <f>J99+J100</f>
        <v>44.4419404</v>
      </c>
      <c r="K101" s="29"/>
    </row>
    <row r="102" spans="1:12" s="17" customFormat="1" ht="12.75">
      <c r="A102" s="1030" t="s">
        <v>17</v>
      </c>
      <c r="B102" s="1030"/>
      <c r="C102" s="1030"/>
      <c r="D102" s="1030"/>
      <c r="E102" s="1030"/>
      <c r="F102" s="1030"/>
      <c r="G102" s="1030"/>
      <c r="H102" s="1030"/>
      <c r="I102" s="1030"/>
      <c r="J102" s="260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44.4419404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((J35+J36)/180)*1.5*15</f>
        <v>227.67387499999998</v>
      </c>
      <c r="K107" s="29"/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272.11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1282.8615094823099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257" t="s">
        <v>71</v>
      </c>
      <c r="B117" s="1257"/>
      <c r="C117" s="1257"/>
      <c r="D117" s="1257"/>
      <c r="E117" s="1257"/>
      <c r="F117" s="1257"/>
      <c r="G117" s="1257"/>
      <c r="H117" s="1257"/>
      <c r="I117" s="1257"/>
      <c r="J117" s="1257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2.75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411">
        <v>8.6302400000000001E-2</v>
      </c>
      <c r="J119" s="242">
        <f>TRUNC(I119*J144,2)</f>
        <v>337.06</v>
      </c>
      <c r="K119" s="29"/>
      <c r="Q119" s="16"/>
      <c r="R119" s="128"/>
    </row>
    <row r="120" spans="1:18" s="17" customFormat="1" ht="12.75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89">
        <v>7.6499999999999999E-2</v>
      </c>
      <c r="J120" s="242">
        <f>TRUNC(I120*(J119+J144),2)</f>
        <v>324.56</v>
      </c>
      <c r="Q120" s="16"/>
    </row>
    <row r="121" spans="1:18" s="17" customFormat="1" ht="12.75">
      <c r="A121" s="39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32.49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149.99</v>
      </c>
      <c r="K123" s="25">
        <f>J151</f>
        <v>119993.16912972089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3.5" thickBot="1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249.98</v>
      </c>
    </row>
    <row r="126" spans="1:18" s="17" customFormat="1" ht="15.75" thickBot="1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0.24930240000000004</v>
      </c>
      <c r="J126" s="249">
        <f>TRUNC(SUM(J119:J125),2)</f>
        <v>1094.08</v>
      </c>
      <c r="Q126" s="358">
        <f>Q148</f>
        <v>-1509.4307608100735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4567.24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4999.7153804050358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432.47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1821.3909999999998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1592.88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130.04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272.11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3905.62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1094.08</v>
      </c>
      <c r="Q145" s="353" t="s">
        <v>244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4999.7153804050367</v>
      </c>
      <c r="K146" s="16"/>
      <c r="L146" s="34">
        <v>4822.8100000000004</v>
      </c>
      <c r="Q146" s="354">
        <v>8490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  <c r="Q147" s="354">
        <f>J150</f>
        <v>9999.4307608100735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9999.4307608100735</v>
      </c>
      <c r="L148" s="34">
        <f>L146*L147</f>
        <v>33759.670000000006</v>
      </c>
      <c r="Q148" s="354">
        <f>Q146-Q147</f>
        <v>-1509.4307608100735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9999.4307608100735</v>
      </c>
      <c r="L150" s="34"/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119993.16912972089</v>
      </c>
      <c r="L151" s="34">
        <f>L148*12</f>
        <v>405116.04000000004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4" orientation="portrait" r:id="rId1"/>
  <headerFooter>
    <oddHeader>&amp;L&amp;G&amp;R&amp;G</oddHeader>
    <oddFooter xml:space="preserve">&amp;R
</oddFooter>
  </headerFooter>
  <rowBreaks count="1" manualBreakCount="1">
    <brk id="74" max="9" man="1"/>
  </rowBreak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S155"/>
  <sheetViews>
    <sheetView view="pageBreakPreview" topLeftCell="A132" zoomScale="80" zoomScaleNormal="100" zoomScaleSheetLayoutView="80" workbookViewId="0">
      <selection activeCell="A26" sqref="A26:J26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42578125" style="2" hidden="1" customWidth="1"/>
    <col min="13" max="13" width="9.85546875" style="2" hidden="1" customWidth="1"/>
    <col min="14" max="14" width="7.5703125" style="2" hidden="1" customWidth="1"/>
    <col min="15" max="15" width="10.5703125" style="2" hidden="1" customWidth="1"/>
    <col min="16" max="16" width="19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2.5" customHeight="1"/>
    <row r="2" spans="1:13" s="6" customFormat="1" ht="15.7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342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204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248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8.5" customHeight="1">
      <c r="A14" s="315">
        <v>1</v>
      </c>
      <c r="B14" s="1007" t="s">
        <v>25</v>
      </c>
      <c r="C14" s="1130"/>
      <c r="D14" s="1130"/>
      <c r="E14" s="1130"/>
      <c r="F14" s="1131"/>
      <c r="G14" s="1010" t="str">
        <f>A7</f>
        <v>VIGILANCIA DESARMADA 12 HORAS NOTURNAS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130"/>
      <c r="D15" s="1130"/>
      <c r="E15" s="1130"/>
      <c r="F15" s="1131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130"/>
      <c r="D16" s="1130"/>
      <c r="E16" s="1130"/>
      <c r="F16" s="1131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130"/>
      <c r="D17" s="1130"/>
      <c r="E17" s="1130"/>
      <c r="F17" s="1131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65" t="s">
        <v>76</v>
      </c>
      <c r="B19" s="1065"/>
      <c r="C19" s="1065"/>
      <c r="D19" s="1065"/>
      <c r="E19" s="1065"/>
      <c r="F19" s="1065"/>
      <c r="G19" s="1065"/>
      <c r="H19" s="1065"/>
      <c r="I19" s="1065"/>
      <c r="J19" s="1065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27.75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NOTURNAS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8" t="s">
        <v>81</v>
      </c>
      <c r="C27" s="1039"/>
      <c r="D27" s="1039"/>
      <c r="E27" s="1039"/>
      <c r="F27" s="1039"/>
      <c r="G27" s="1039"/>
      <c r="H27" s="1039"/>
      <c r="I27" s="1040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120</v>
      </c>
      <c r="J37" s="276">
        <f>K37*I37</f>
        <v>199.2</v>
      </c>
      <c r="K37" s="22">
        <v>1.66</v>
      </c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15</v>
      </c>
      <c r="J38" s="276">
        <f>K38*I38</f>
        <v>223.5</v>
      </c>
      <c r="K38" s="22">
        <v>14.9</v>
      </c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70.45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2314.5409999999997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2314.5409999999997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31" t="s">
        <v>47</v>
      </c>
      <c r="B48" s="1031"/>
      <c r="C48" s="1031"/>
      <c r="D48" s="1031"/>
      <c r="E48" s="1031"/>
      <c r="F48" s="1031"/>
      <c r="G48" s="1031"/>
      <c r="H48" s="1031"/>
      <c r="I48" s="399" t="s">
        <v>3</v>
      </c>
      <c r="J48" s="399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192.80126529999998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192.80126529999998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21.368791473809996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406.97132207380997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544.30246441476197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68.037808051845246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81.645369662214293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40.822684831107146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27.215123220738096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16.329073932442856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5.4430246441476191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217.72098576590477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1001.51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10.520640909090908</v>
      </c>
      <c r="L71" s="31"/>
      <c r="Q71" s="25">
        <f>K71*1.5</f>
        <v>15.780961363636361</v>
      </c>
    </row>
    <row r="72" spans="1:19" s="17" customFormat="1" ht="12.75">
      <c r="A72" s="269" t="s">
        <v>12</v>
      </c>
      <c r="B72" s="1235" t="s">
        <v>205</v>
      </c>
      <c r="C72" s="1235"/>
      <c r="D72" s="1235"/>
      <c r="E72" s="1235"/>
      <c r="F72" s="1235"/>
      <c r="G72" s="1235"/>
      <c r="H72" s="1235"/>
      <c r="I72" s="400">
        <v>18.329999999999998</v>
      </c>
      <c r="J72" s="271">
        <f>I72</f>
        <v>18.329999999999998</v>
      </c>
      <c r="K72" s="27">
        <f>J43/220</f>
        <v>10.520640909090908</v>
      </c>
      <c r="L72" s="31"/>
      <c r="Q72" s="25">
        <f>K72*2</f>
        <v>21.041281818181815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486.28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406.97132207380997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1001.51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486.28</v>
      </c>
      <c r="K79" s="29"/>
      <c r="L79" s="31"/>
    </row>
    <row r="80" spans="1:19" s="17" customFormat="1" ht="12.75">
      <c r="A80" s="316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1894.76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384">
        <v>4.4999999999999997E-3</v>
      </c>
      <c r="J83" s="246">
        <f>J44*I83</f>
        <v>10.415434499999998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386">
        <f>I83*I62</f>
        <v>3.5999999999999997E-4</v>
      </c>
      <c r="J84" s="242">
        <f>I84*J44</f>
        <v>0.83323475999999985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46.290819999999997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44.902095399999993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16.523971107200001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46.290819999999997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165.25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39.347197000000001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10.415434499999998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0.46290819999999999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6.2492606999999998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56.474800399999999</v>
      </c>
      <c r="K99" s="29"/>
      <c r="L99" s="31"/>
    </row>
    <row r="100" spans="1:12" s="17" customFormat="1" ht="13.5" customHeight="1">
      <c r="A100" s="410" t="s">
        <v>13</v>
      </c>
      <c r="B100" s="1258" t="s">
        <v>165</v>
      </c>
      <c r="C100" s="1258"/>
      <c r="D100" s="1258"/>
      <c r="E100" s="1258"/>
      <c r="F100" s="1258"/>
      <c r="G100" s="1258"/>
      <c r="H100" s="1258"/>
      <c r="I100" s="349"/>
      <c r="J100" s="350"/>
      <c r="K100" s="29"/>
      <c r="L100" s="31"/>
    </row>
    <row r="101" spans="1:12" s="17" customFormat="1" ht="12.75">
      <c r="A101" s="1065" t="s">
        <v>96</v>
      </c>
      <c r="B101" s="1065"/>
      <c r="C101" s="1065"/>
      <c r="D101" s="1065"/>
      <c r="E101" s="1065"/>
      <c r="F101" s="1065"/>
      <c r="G101" s="1065"/>
      <c r="H101" s="1065"/>
      <c r="I101" s="338">
        <f>I99+I100</f>
        <v>2.4400000000000002E-2</v>
      </c>
      <c r="J101" s="339">
        <f>J99+J100</f>
        <v>56.474800399999999</v>
      </c>
      <c r="K101" s="29"/>
    </row>
    <row r="102" spans="1:12" s="17" customFormat="1" ht="12.75">
      <c r="A102" s="1065" t="s">
        <v>17</v>
      </c>
      <c r="B102" s="1065"/>
      <c r="C102" s="1065"/>
      <c r="D102" s="1065"/>
      <c r="E102" s="1065"/>
      <c r="F102" s="1065"/>
      <c r="G102" s="1065"/>
      <c r="H102" s="1065"/>
      <c r="I102" s="1065"/>
      <c r="J102" s="339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56.474800399999999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(J35+J36+J37)/180*1.5*15</f>
        <v>252.57387499999999</v>
      </c>
      <c r="K107" s="29">
        <v>21.6</v>
      </c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309.04000000000002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1630.20612247381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065" t="s">
        <v>71</v>
      </c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3.5" thickBot="1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352">
        <v>0.04</v>
      </c>
      <c r="J119" s="242">
        <f>TRUNC(I119*J144,2)</f>
        <v>190.91</v>
      </c>
      <c r="K119" s="29"/>
      <c r="Q119" s="16"/>
      <c r="R119" s="128"/>
    </row>
    <row r="120" spans="1:18" s="17" customFormat="1" ht="15.75" thickBot="1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52">
        <v>0.03</v>
      </c>
      <c r="J120" s="242">
        <f>TRUNC(I120*(J119+J144),2)</f>
        <v>148.91</v>
      </c>
      <c r="Q120" s="358">
        <f>Q151</f>
        <v>-813.45374931581864</v>
      </c>
    </row>
    <row r="121" spans="1:18" s="17" customFormat="1" ht="12.75">
      <c r="A121" s="33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36.369999999999997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167.9</v>
      </c>
      <c r="K123" s="25">
        <f>J151</f>
        <v>134321.44499178982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2.75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279.83</v>
      </c>
    </row>
    <row r="126" spans="1:18" s="17" customFormat="1" ht="12.75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0.15650000000000003</v>
      </c>
      <c r="J126" s="249">
        <f>TRUNC(SUM(J119:J125),2)</f>
        <v>823.92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5112.6099999999997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5596.7268746579093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484.11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2314.5409999999997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1894.76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165.25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309.04000000000002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4772.79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823.92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5596.7268746579093</v>
      </c>
      <c r="K146" s="16"/>
      <c r="L146" s="34">
        <v>4822.8100000000004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11193.453749315819</v>
      </c>
      <c r="L148" s="34">
        <f>L146*L147</f>
        <v>33759.670000000006</v>
      </c>
      <c r="Q148" s="353" t="s">
        <v>244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  <c r="Q149" s="354">
        <v>10380</v>
      </c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11193.453749315819</v>
      </c>
      <c r="L150" s="34"/>
      <c r="Q150" s="354">
        <f>J148</f>
        <v>11193.453749315819</v>
      </c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134321.44499178982</v>
      </c>
      <c r="L151" s="34">
        <f>L148*12</f>
        <v>405116.04000000004</v>
      </c>
      <c r="Q151" s="354">
        <f>Q149-Q150</f>
        <v>-813.45374931581864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  <c r="K153" s="25" t="e">
        <f>J148+#REF!</f>
        <v>#REF!</v>
      </c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4" orientation="portrait" r:id="rId1"/>
  <headerFooter>
    <oddHeader>&amp;L&amp;G&amp;R&amp;G</oddHeader>
    <oddFooter xml:space="preserve">&amp;R
</oddFooter>
  </headerFooter>
  <rowBreaks count="1" manualBreakCount="1">
    <brk id="74" max="9" man="1"/>
  </row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S155"/>
  <sheetViews>
    <sheetView view="pageBreakPreview" topLeftCell="A111" zoomScale="80" zoomScaleNormal="100" zoomScaleSheetLayoutView="80" workbookViewId="0">
      <selection activeCell="A26" sqref="A26:J26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7109375" style="2" hidden="1" customWidth="1"/>
    <col min="13" max="13" width="26.28515625" style="2" hidden="1" customWidth="1"/>
    <col min="14" max="14" width="17.5703125" style="2" hidden="1" customWidth="1"/>
    <col min="15" max="15" width="19" style="2" hidden="1" customWidth="1"/>
    <col min="16" max="16" width="4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6.25" customHeight="1"/>
    <row r="2" spans="1:13" s="6" customFormat="1" ht="14.4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287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203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249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7.75" customHeight="1">
      <c r="A14" s="315">
        <v>1</v>
      </c>
      <c r="B14" s="1007" t="s">
        <v>25</v>
      </c>
      <c r="C14" s="1008"/>
      <c r="D14" s="1008"/>
      <c r="E14" s="1008"/>
      <c r="F14" s="1009"/>
      <c r="G14" s="1010" t="str">
        <f>A7</f>
        <v>VIGILANCIA DESARMADA 12 HORAS DIURNAS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008"/>
      <c r="D15" s="1008"/>
      <c r="E15" s="1008"/>
      <c r="F15" s="1009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008"/>
      <c r="D16" s="1008"/>
      <c r="E16" s="1008"/>
      <c r="F16" s="1009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008"/>
      <c r="D17" s="1008"/>
      <c r="E17" s="1008"/>
      <c r="F17" s="1009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30" t="s">
        <v>76</v>
      </c>
      <c r="B19" s="1030"/>
      <c r="C19" s="1030"/>
      <c r="D19" s="1030"/>
      <c r="E19" s="1030"/>
      <c r="F19" s="1030"/>
      <c r="G19" s="1030"/>
      <c r="H19" s="1030"/>
      <c r="I19" s="1030"/>
      <c r="J19" s="1030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30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DIURNAS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2" t="s">
        <v>81</v>
      </c>
      <c r="C27" s="1033"/>
      <c r="D27" s="1033"/>
      <c r="E27" s="1033"/>
      <c r="F27" s="1033"/>
      <c r="G27" s="1033"/>
      <c r="H27" s="1008"/>
      <c r="I27" s="1009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0</v>
      </c>
      <c r="J37" s="276">
        <f>((J35+J36)/220)*0.2*I37</f>
        <v>0</v>
      </c>
      <c r="K37" s="22"/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0</v>
      </c>
      <c r="J38" s="276">
        <f>I38*14.89</f>
        <v>0</v>
      </c>
      <c r="K38" s="22"/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0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1821.3909999999998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1821.3909999999998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65" t="s">
        <v>47</v>
      </c>
      <c r="B48" s="1065"/>
      <c r="C48" s="1065"/>
      <c r="D48" s="1065"/>
      <c r="E48" s="1065"/>
      <c r="F48" s="1065"/>
      <c r="G48" s="1065"/>
      <c r="H48" s="1065"/>
      <c r="I48" s="395" t="s">
        <v>3</v>
      </c>
      <c r="J48" s="395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151.72187029999998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151.72187029999998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16.815828482309996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320.25956908230995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428.33011381646196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53.541264227057745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64.249517072469288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32.124758536234644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21.416505690823097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12.849903414493857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4.2833011381646191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171.33204552658478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788.12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8.2790499999999998</v>
      </c>
      <c r="L71" s="31"/>
      <c r="Q71" s="25">
        <f>K71*1.5</f>
        <v>12.418575000000001</v>
      </c>
    </row>
    <row r="72" spans="1:19" s="17" customFormat="1" ht="12.75">
      <c r="A72" s="269" t="s">
        <v>12</v>
      </c>
      <c r="B72" s="1235" t="s">
        <v>179</v>
      </c>
      <c r="C72" s="1235"/>
      <c r="D72" s="1235"/>
      <c r="E72" s="1235"/>
      <c r="F72" s="1235"/>
      <c r="G72" s="1235"/>
      <c r="H72" s="1235"/>
      <c r="I72" s="400">
        <f>Q72</f>
        <v>16.5581</v>
      </c>
      <c r="J72" s="271">
        <f>I72</f>
        <v>16.5581</v>
      </c>
      <c r="K72" s="27">
        <f>J43/220</f>
        <v>8.2790499999999998</v>
      </c>
      <c r="L72" s="31"/>
      <c r="Q72" s="25">
        <f>K72*2</f>
        <v>16.5581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484.51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320.25956908230995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788.12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484.51</v>
      </c>
      <c r="K79" s="29"/>
      <c r="L79" s="31"/>
    </row>
    <row r="80" spans="1:19" s="17" customFormat="1" ht="12.75">
      <c r="A80" s="291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1592.88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384">
        <v>4.4999999999999997E-3</v>
      </c>
      <c r="J83" s="246">
        <f>J44*I83</f>
        <v>8.1962594999999983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386">
        <f>I83*I62</f>
        <v>3.5999999999999997E-4</v>
      </c>
      <c r="J84" s="242">
        <f>I84*J44</f>
        <v>0.65570075999999988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36.427819999999997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35.334985400000001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13.003274627200001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36.427819999999997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130.04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30.963646999999998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8.1962594999999983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0.3642782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4.9177556999999998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44.4419404</v>
      </c>
      <c r="K99" s="29"/>
      <c r="L99" s="31"/>
    </row>
    <row r="100" spans="1:12" s="17" customFormat="1" ht="13.5" customHeight="1">
      <c r="A100" s="256" t="s">
        <v>13</v>
      </c>
      <c r="B100" s="1027" t="s">
        <v>165</v>
      </c>
      <c r="C100" s="1027"/>
      <c r="D100" s="1027"/>
      <c r="E100" s="1027"/>
      <c r="F100" s="1027"/>
      <c r="G100" s="1027"/>
      <c r="H100" s="1027"/>
      <c r="I100" s="257"/>
      <c r="J100" s="258"/>
      <c r="K100" s="29"/>
      <c r="L100" s="31"/>
    </row>
    <row r="101" spans="1:12" s="17" customFormat="1" ht="12.75">
      <c r="A101" s="1030" t="s">
        <v>96</v>
      </c>
      <c r="B101" s="1030"/>
      <c r="C101" s="1030"/>
      <c r="D101" s="1030"/>
      <c r="E101" s="1030"/>
      <c r="F101" s="1030"/>
      <c r="G101" s="1030"/>
      <c r="H101" s="1030"/>
      <c r="I101" s="259">
        <f>I99+I100</f>
        <v>2.4400000000000002E-2</v>
      </c>
      <c r="J101" s="260">
        <f>J99+J100</f>
        <v>44.4419404</v>
      </c>
      <c r="K101" s="29"/>
    </row>
    <row r="102" spans="1:12" s="17" customFormat="1" ht="12.75">
      <c r="A102" s="1030" t="s">
        <v>17</v>
      </c>
      <c r="B102" s="1030"/>
      <c r="C102" s="1030"/>
      <c r="D102" s="1030"/>
      <c r="E102" s="1030"/>
      <c r="F102" s="1030"/>
      <c r="G102" s="1030"/>
      <c r="H102" s="1030"/>
      <c r="I102" s="1030"/>
      <c r="J102" s="260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44.4419404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((J35+J36)/180)*1.5*15</f>
        <v>227.67387499999998</v>
      </c>
      <c r="K107" s="29"/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272.11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1282.8615094823099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257" t="s">
        <v>71</v>
      </c>
      <c r="B117" s="1257"/>
      <c r="C117" s="1257"/>
      <c r="D117" s="1257"/>
      <c r="E117" s="1257"/>
      <c r="F117" s="1257"/>
      <c r="G117" s="1257"/>
      <c r="H117" s="1257"/>
      <c r="I117" s="1257"/>
      <c r="J117" s="1257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2.75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411">
        <v>8.6302400000000001E-2</v>
      </c>
      <c r="J119" s="242">
        <f>TRUNC(I119*J144,2)</f>
        <v>337.06</v>
      </c>
      <c r="K119" s="29"/>
      <c r="Q119" s="16"/>
      <c r="R119" s="128"/>
    </row>
    <row r="120" spans="1:18" s="17" customFormat="1" ht="12.75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89">
        <v>7.6499999999999999E-2</v>
      </c>
      <c r="J120" s="242">
        <f>TRUNC(I120*(J119+J144),2)</f>
        <v>324.56</v>
      </c>
      <c r="Q120" s="16"/>
    </row>
    <row r="121" spans="1:18" s="17" customFormat="1" ht="12.75">
      <c r="A121" s="39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32.49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149.99</v>
      </c>
      <c r="K123" s="25">
        <f>J151</f>
        <v>119993.16912972089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3.5" thickBot="1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249.98</v>
      </c>
    </row>
    <row r="126" spans="1:18" s="17" customFormat="1" ht="15.75" thickBot="1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0.24930240000000004</v>
      </c>
      <c r="J126" s="249">
        <f>TRUNC(SUM(J119:J125),2)</f>
        <v>1094.08</v>
      </c>
      <c r="Q126" s="358">
        <f>Q148</f>
        <v>-1509.4307608100735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4567.24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4999.7153804050358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432.47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1821.3909999999998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1592.88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130.04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272.11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3905.62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1094.08</v>
      </c>
      <c r="Q145" s="353" t="s">
        <v>244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4999.7153804050367</v>
      </c>
      <c r="K146" s="16"/>
      <c r="L146" s="34">
        <v>4822.8100000000004</v>
      </c>
      <c r="Q146" s="354">
        <v>8490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  <c r="Q147" s="354">
        <f>J150</f>
        <v>9999.4307608100735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9999.4307608100735</v>
      </c>
      <c r="L148" s="34">
        <f>L146*L147</f>
        <v>33759.670000000006</v>
      </c>
      <c r="Q148" s="354">
        <f>Q146-Q147</f>
        <v>-1509.4307608100735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9999.4307608100735</v>
      </c>
      <c r="L150" s="34"/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119993.16912972089</v>
      </c>
      <c r="L151" s="34">
        <f>L148*12</f>
        <v>405116.04000000004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4" orientation="portrait" r:id="rId1"/>
  <headerFooter>
    <oddHeader>&amp;L&amp;G&amp;R&amp;G</oddHeader>
    <oddFooter xml:space="preserve">&amp;R
</oddFooter>
  </headerFooter>
  <rowBreaks count="1" manualBreakCount="1">
    <brk id="74" max="9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1:P178"/>
  <sheetViews>
    <sheetView workbookViewId="0">
      <selection activeCell="C18" sqref="C18"/>
    </sheetView>
  </sheetViews>
  <sheetFormatPr defaultRowHeight="12.75"/>
  <cols>
    <col min="3" max="3" width="14.7109375" bestFit="1" customWidth="1"/>
    <col min="259" max="259" width="14.7109375" bestFit="1" customWidth="1"/>
    <col min="515" max="515" width="14.7109375" bestFit="1" customWidth="1"/>
    <col min="771" max="771" width="14.7109375" bestFit="1" customWidth="1"/>
    <col min="1027" max="1027" width="14.7109375" bestFit="1" customWidth="1"/>
    <col min="1283" max="1283" width="14.7109375" bestFit="1" customWidth="1"/>
    <col min="1539" max="1539" width="14.7109375" bestFit="1" customWidth="1"/>
    <col min="1795" max="1795" width="14.7109375" bestFit="1" customWidth="1"/>
    <col min="2051" max="2051" width="14.7109375" bestFit="1" customWidth="1"/>
    <col min="2307" max="2307" width="14.7109375" bestFit="1" customWidth="1"/>
    <col min="2563" max="2563" width="14.7109375" bestFit="1" customWidth="1"/>
    <col min="2819" max="2819" width="14.7109375" bestFit="1" customWidth="1"/>
    <col min="3075" max="3075" width="14.7109375" bestFit="1" customWidth="1"/>
    <col min="3331" max="3331" width="14.7109375" bestFit="1" customWidth="1"/>
    <col min="3587" max="3587" width="14.7109375" bestFit="1" customWidth="1"/>
    <col min="3843" max="3843" width="14.7109375" bestFit="1" customWidth="1"/>
    <col min="4099" max="4099" width="14.7109375" bestFit="1" customWidth="1"/>
    <col min="4355" max="4355" width="14.7109375" bestFit="1" customWidth="1"/>
    <col min="4611" max="4611" width="14.7109375" bestFit="1" customWidth="1"/>
    <col min="4867" max="4867" width="14.7109375" bestFit="1" customWidth="1"/>
    <col min="5123" max="5123" width="14.7109375" bestFit="1" customWidth="1"/>
    <col min="5379" max="5379" width="14.7109375" bestFit="1" customWidth="1"/>
    <col min="5635" max="5635" width="14.7109375" bestFit="1" customWidth="1"/>
    <col min="5891" max="5891" width="14.7109375" bestFit="1" customWidth="1"/>
    <col min="6147" max="6147" width="14.7109375" bestFit="1" customWidth="1"/>
    <col min="6403" max="6403" width="14.7109375" bestFit="1" customWidth="1"/>
    <col min="6659" max="6659" width="14.7109375" bestFit="1" customWidth="1"/>
    <col min="6915" max="6915" width="14.7109375" bestFit="1" customWidth="1"/>
    <col min="7171" max="7171" width="14.7109375" bestFit="1" customWidth="1"/>
    <col min="7427" max="7427" width="14.7109375" bestFit="1" customWidth="1"/>
    <col min="7683" max="7683" width="14.7109375" bestFit="1" customWidth="1"/>
    <col min="7939" max="7939" width="14.7109375" bestFit="1" customWidth="1"/>
    <col min="8195" max="8195" width="14.7109375" bestFit="1" customWidth="1"/>
    <col min="8451" max="8451" width="14.7109375" bestFit="1" customWidth="1"/>
    <col min="8707" max="8707" width="14.7109375" bestFit="1" customWidth="1"/>
    <col min="8963" max="8963" width="14.7109375" bestFit="1" customWidth="1"/>
    <col min="9219" max="9219" width="14.7109375" bestFit="1" customWidth="1"/>
    <col min="9475" max="9475" width="14.7109375" bestFit="1" customWidth="1"/>
    <col min="9731" max="9731" width="14.7109375" bestFit="1" customWidth="1"/>
    <col min="9987" max="9987" width="14.7109375" bestFit="1" customWidth="1"/>
    <col min="10243" max="10243" width="14.7109375" bestFit="1" customWidth="1"/>
    <col min="10499" max="10499" width="14.7109375" bestFit="1" customWidth="1"/>
    <col min="10755" max="10755" width="14.7109375" bestFit="1" customWidth="1"/>
    <col min="11011" max="11011" width="14.7109375" bestFit="1" customWidth="1"/>
    <col min="11267" max="11267" width="14.7109375" bestFit="1" customWidth="1"/>
    <col min="11523" max="11523" width="14.7109375" bestFit="1" customWidth="1"/>
    <col min="11779" max="11779" width="14.7109375" bestFit="1" customWidth="1"/>
    <col min="12035" max="12035" width="14.7109375" bestFit="1" customWidth="1"/>
    <col min="12291" max="12291" width="14.7109375" bestFit="1" customWidth="1"/>
    <col min="12547" max="12547" width="14.7109375" bestFit="1" customWidth="1"/>
    <col min="12803" max="12803" width="14.7109375" bestFit="1" customWidth="1"/>
    <col min="13059" max="13059" width="14.7109375" bestFit="1" customWidth="1"/>
    <col min="13315" max="13315" width="14.7109375" bestFit="1" customWidth="1"/>
    <col min="13571" max="13571" width="14.7109375" bestFit="1" customWidth="1"/>
    <col min="13827" max="13827" width="14.7109375" bestFit="1" customWidth="1"/>
    <col min="14083" max="14083" width="14.7109375" bestFit="1" customWidth="1"/>
    <col min="14339" max="14339" width="14.7109375" bestFit="1" customWidth="1"/>
    <col min="14595" max="14595" width="14.7109375" bestFit="1" customWidth="1"/>
    <col min="14851" max="14851" width="14.7109375" bestFit="1" customWidth="1"/>
    <col min="15107" max="15107" width="14.7109375" bestFit="1" customWidth="1"/>
    <col min="15363" max="15363" width="14.7109375" bestFit="1" customWidth="1"/>
    <col min="15619" max="15619" width="14.7109375" bestFit="1" customWidth="1"/>
    <col min="15875" max="15875" width="14.7109375" bestFit="1" customWidth="1"/>
    <col min="16131" max="16131" width="14.7109375" bestFit="1" customWidth="1"/>
  </cols>
  <sheetData>
    <row r="1" spans="3:16" ht="13.5" thickBot="1"/>
    <row r="2" spans="3:16" ht="13.5" thickBot="1">
      <c r="D2" s="894" t="s">
        <v>297</v>
      </c>
      <c r="E2" s="895"/>
      <c r="F2" s="895"/>
      <c r="G2" s="895"/>
      <c r="H2" s="896"/>
      <c r="I2" s="894" t="s">
        <v>298</v>
      </c>
      <c r="J2" s="895"/>
      <c r="K2" s="895"/>
      <c r="L2" s="895"/>
      <c r="M2" s="896"/>
      <c r="N2" s="897" t="s">
        <v>299</v>
      </c>
      <c r="O2" s="897" t="s">
        <v>300</v>
      </c>
      <c r="P2" s="897" t="s">
        <v>301</v>
      </c>
    </row>
    <row r="3" spans="3:16" ht="26.25" thickBot="1">
      <c r="C3" s="553" t="s">
        <v>302</v>
      </c>
      <c r="D3" s="554" t="s">
        <v>303</v>
      </c>
      <c r="E3" s="555" t="s">
        <v>304</v>
      </c>
      <c r="F3" s="555" t="s">
        <v>305</v>
      </c>
      <c r="G3" s="555" t="s">
        <v>306</v>
      </c>
      <c r="H3" s="556" t="s">
        <v>307</v>
      </c>
      <c r="I3" s="554" t="s">
        <v>303</v>
      </c>
      <c r="J3" s="555" t="s">
        <v>304</v>
      </c>
      <c r="K3" s="555" t="s">
        <v>305</v>
      </c>
      <c r="L3" s="555" t="s">
        <v>306</v>
      </c>
      <c r="M3" s="556" t="s">
        <v>307</v>
      </c>
      <c r="N3" s="898"/>
      <c r="O3" s="898"/>
      <c r="P3" s="898"/>
    </row>
    <row r="4" spans="3:16">
      <c r="C4" s="557" t="e">
        <f>#REF!</f>
        <v>#REF!</v>
      </c>
      <c r="D4" t="e">
        <f t="array" ref="D4:H4">TRUNC(($C4-((10^{15,12,9,6,3})*INT($C4/(10^{15,12,9,6,3}))))/10^{12,9,6,3,0})</f>
        <v>#REF!</v>
      </c>
      <c r="E4" t="e">
        <v>#REF!</v>
      </c>
      <c r="F4" t="e">
        <v>#REF!</v>
      </c>
      <c r="G4" t="e">
        <v>#REF!</v>
      </c>
      <c r="H4" t="e">
        <v>#REF!</v>
      </c>
      <c r="I4" t="e">
        <f>IF($C4&lt;10^15,"",IF(OR(D4=1,AND(D4&gt;=100,MOD(D4,100)=0)),IF(TRUNC(($C4-(10^12*INT($C4/(10^12)))))=0,_e_,_sp_),IF(D4&lt;100,"",_sp_)))&amp;IF(D4=1,INDEX(Sng,1,5),IF(D4&lt;100,"",IF(D4=100,OCem,INDEX(Cem,1,TRUNC(D4/100)))))&amp;IF(MOD(D4,100)=0,"",IF(D4=1,"",IF(OR(MOD(D4,100)&gt;=20,MOD(D4,100)=10),IF(OR(D4&gt;100,AND($C4&gt;10^15,TRUNC(($C4-(10^12*INT($C4/(10^12)))))=0)),_e_,IF($C4&gt;10^15,_sp_,"")),"")))&amp;IF(MOD(D4,100)=0,"",IF(D4=1,"",IF(OR(MOD(D4,100)&gt;=20,MOD(D4,100)=10),INDEX(Dez,1,TRUNC(MOD(D4,100)/10)),"")))&amp;IF(MOD(D4,100)=0,"",IF(D4=1,"",IF(MOD(MOD(D4,100),10)&lt;&gt;0,IF(OR(D4&gt;20,AND($C4&gt;10^15,TRUNC(($C4-(10^12*INT($C4/(10^12)))))=0)),_e_,IF($C4&gt;10^15,_sp_,"")),"")))&amp;IF(D4=0,"",IF(D4=1,"",IF(MOD(MOD(D4,100),10)=0,"",IF(MOD(D4,100)&lt;20,INDEX(Sml,1,MOD(D4,100)),INDEX(Sml,1,MOD(MOD(D4,100),10)))))) &amp; IF(D4&lt;=1,"",INDEX(Plu,1,5))</f>
        <v>#REF!</v>
      </c>
      <c r="J4" t="e">
        <f>IF($C4&lt;10^12,"",IF(OR(E4=1,AND(E4&gt;=100,MOD(E4,100)=0)),IF(TRUNC(($C4-(10^9*INT($C4/(10^9)))))=0,_e_,_sp_),IF(E4&lt;100,"",_sp_)))&amp;IF(E4=1,INDEX(Sng,1,4),IF(E4&lt;100,"",IF(E4=100,OCem,INDEX(Cem,1,TRUNC(E4/100)))))&amp;IF(MOD(E4,100)=0,"",IF(E4=1,"",IF(OR(MOD(E4,100)&gt;=20,MOD(E4,100)=10),IF(OR(E4&gt;100,AND($C4&gt;10^12,TRUNC(($C4-(10^9*INT($C4/(10^9)))))=0)),_e_,IF($C4&gt;10^12,_sp_,"")),"")))&amp;IF(MOD(E4,100)=0,"",IF(E4=1,"",IF(OR(MOD(E4,100)&gt;=20,MOD(E4,100)=10),INDEX(Dez,1,TRUNC(MOD(E4,100)/10)),"")))&amp;IF(MOD(E4,100)=0,"",IF(E4=1,"",IF(MOD(MOD(E4,100),10)&lt;&gt;0,IF(OR(E4&gt;20,AND($C4&gt;10^12,TRUNC(($C4-(10^9*INT($C4/(10^9)))))=0)),_e_,IF($C4&gt;10^12,_sp_,"")),"")))&amp;IF(E4=0,"",IF(E4=1,"",IF(MOD(MOD(E4,100),10)=0,"",IF(MOD(E4,100)&lt;20,INDEX(Sml,1,MOD(E4,100)),INDEX(Sml,1,MOD(MOD(E4,100),10)))))) &amp; IF(E4&lt;=1,"",INDEX(Plu,1,4))</f>
        <v>#REF!</v>
      </c>
      <c r="K4" t="e">
        <f>IF($C4&lt;10^9,"",IF(OR(F4=1,AND(F4&gt;=100,MOD(F4,100)=0)),IF(TRUNC(($C4-(10^6*INT($C4/(10^6)))))=0,_e_,_sp_),IF(F4&lt;100,"",_sp_)))&amp;IF(F4=1,INDEX(Sng,1,3),IF(F4&lt;100,"",IF(F4=100,OCem,INDEX(Cem,1,TRUNC(F4/100)))))&amp;IF(MOD(F4,100)=0,"",IF(F4=1,"",IF(OR(MOD(F4,100)&gt;=20,MOD(F4,100)=10),IF(OR(F4&gt;100,AND($C4&gt;10^9,TRUNC(($C4-(10^6*INT($C4/(10^6)))))=0)),_e_,IF($C4&gt;10^9,_sp_,"")),"")))&amp;IF(MOD(F4,100)=0,"",IF(F4=1,"",IF(OR(MOD(F4,100)&gt;=20,MOD(F4,100)=10),INDEX(Dez,1,TRUNC(MOD(F4,100)/10)),"")))&amp;IF(MOD(F4,100)=0,"",IF(F4=1,"",IF(MOD(MOD(F4,100),10)&lt;&gt;0,IF(OR(F4&gt;20,AND($C4&gt;10^9,TRUNC(($C4-(10^6*INT($C4/(10^6)))))=0)),_e_,IF($C4&gt;10^9,_sp_,"")),"")))&amp;IF(F4=0,"",IF(F4=1,"",IF(MOD(MOD(F4,100),10)=0,"",IF(MOD(F4,100)&lt;20,INDEX(Sml,1,MOD(F4,100)),INDEX(Sml,1,MOD(MOD(F4,100),10)))))) &amp; IF(F4&lt;=1,"",INDEX(Plu,1,3))</f>
        <v>#REF!</v>
      </c>
      <c r="L4" t="e">
        <f>IF($C4&lt;10^6,"",IF(OR(G4=1,AND(G4&gt;=100,MOD(G4,100)=0)),IF(TRUNC(($C4-(10^3*INT($C4/(10^3)))))=0,_e_,_sp_),IF(G4&lt;100,"",_sp_)))&amp;IF(G4=1,INDEX(Sng,1,2),IF(G4&lt;100,"",IF(G4=100,OCem,INDEX(Cem,1,TRUNC(G4/100)))))&amp;IF(MOD(G4,100)=0,"",IF(G4=1,"",IF(OR(MOD(G4,100)&gt;=20,MOD(G4,100)=10),IF(OR(G4&gt;100,AND($C4&gt;10^6,TRUNC(($C4-(10^3*INT($C4/(10^3)))))=0)),_e_,IF($C4&gt;10^6,_sp_,"")),"")))&amp;IF(MOD(G4,100)=0,"",IF(G4=1,"",IF(OR(MOD(G4,100)&gt;=20,MOD(G4,100)=10),INDEX(Dez,1,TRUNC(MOD(G4,100)/10)),"")))&amp;IF(MOD(G4,100)=0,"",IF(G4=1,"",IF(MOD(MOD(G4,100),10)&lt;&gt;0,IF(OR(G4&gt;20,AND($C4&gt;10^6,TRUNC(($C4-(10^3*INT($C4/(10^3)))))=0)),_e_,IF($C4&gt;10^6,_sp_,"")),"")))&amp;IF(G4=0,"",IF(G4=1,"",IF(MOD(MOD(G4,100),10)=0,"",IF(MOD(G4,100)&lt;20,INDEX(Sml,1,MOD(G4,100)),INDEX(Sml,1,MOD(MOD(G4,100),10)))))) &amp; IF(G4&lt;=1,"",INDEX(Plu,1,2))</f>
        <v>#REF!</v>
      </c>
      <c r="M4" t="e">
        <f>IF($C4&lt;10^3,"",IF(OR(H4=1,AND(H4&gt;=100,MOD(H4,100)=0)),IF(TRUNC(($C4-(10^0*INT($C4/(10^0)))))=0,_e_,_sp_),IF(H4&lt;100,"",_sp_)))&amp;IF(H4=1,INDEX(Sng,1,1),IF(H4&lt;100,"",IF(H4=100,OCem,INDEX(Cem,1,TRUNC(H4/100)))))&amp;IF(MOD(H4,100)=0,"",IF(H4=1,"",IF(OR(MOD(H4,100)&gt;=20,MOD(H4,100)=10),IF(OR(H4&gt;100,AND($C4&gt;10^3,TRUNC(($C4-(10^0*INT($C4/(10^0)))))=0)),_e_,IF($C4&gt;10^3,_sp_,"")),"")))&amp;IF(MOD(H4,100)=0,"",IF(H4=1,"",IF(OR(MOD(H4,100)&gt;=20,MOD(H4,100)=10),INDEX(Dez,1,TRUNC(MOD(H4,100)/10)),"")))&amp;IF(MOD(H4,100)=0,"",IF(H4=1,"",IF(MOD(MOD(H4,100),10)&lt;&gt;0,IF(OR(H4&gt;20,AND($C4&gt;10^3,TRUNC(($C4-(10^0*INT($C4/(10^0)))))=0)),_e_,IF($C4&gt;10^3,_sp_,"")),"")))&amp;IF(H4=0,"",IF(H4=1,"",IF(MOD(MOD(H4,100),10)=0,"",IF(MOD(H4,100)&lt;20,INDEX(Sml,1,MOD(H4,100)),INDEX(Sml,1,MOD(MOD(H4,100),10)))))) &amp; IF(H4&lt;=1,"",INDEX(Plu,1,1))</f>
        <v>#REF!</v>
      </c>
      <c r="N4" t="e">
        <f>IF($C4&lt;1,"",IF(TRUNC($C4)=1," real",IF(AND($C4&gt;=10^6,TRUNC($C4-10^6*INT($C4/10^6))=0)," de","") &amp; " reais"))</f>
        <v>#REF!</v>
      </c>
      <c r="O4" t="e">
        <f>IF((ROUND($C4-TRUNC($C4),2)*100)=0,"",IF($C4&gt;=1,_e_,"") &amp; IF((ROUND($C4-TRUNC($C4),2)*100)=1,"um centavo",IF((ROUND($C4-TRUNC($C4),2)*100)&gt;=20,INDEX(Dez,1,TRUNC((ROUND($C4-TRUNC($C4),2)*100)/10)) &amp; IF(MOD((ROUND($C4-TRUNC($C4),2)*100),10)&lt;&gt;0,_e_ &amp; INDEX(Sml,1,MOD((ROUND($C4-TRUNC($C4),2)*100),10)),""),INDEX(Sml,1,(ROUND($C4-TRUNC($C4),2)*100))) &amp; " centavos"))</f>
        <v>#REF!</v>
      </c>
      <c r="P4" t="e">
        <f>I4&amp;J4&amp;K4&amp;L4&amp;M4&amp;N4&amp;O4</f>
        <v>#REF!</v>
      </c>
    </row>
    <row r="7" spans="3:16" ht="13.5" thickBot="1"/>
    <row r="8" spans="3:16" ht="13.5" thickBot="1">
      <c r="D8" s="558" t="s">
        <v>297</v>
      </c>
      <c r="E8" s="559"/>
      <c r="F8" s="559"/>
      <c r="G8" s="559"/>
      <c r="H8" s="560"/>
      <c r="I8" s="558" t="s">
        <v>298</v>
      </c>
      <c r="J8" s="559"/>
      <c r="K8" s="559"/>
      <c r="L8" s="559"/>
      <c r="M8" s="560"/>
      <c r="N8" s="561" t="s">
        <v>299</v>
      </c>
      <c r="O8" s="561" t="s">
        <v>300</v>
      </c>
      <c r="P8" s="561" t="s">
        <v>301</v>
      </c>
    </row>
    <row r="9" spans="3:16" ht="26.25" thickBot="1">
      <c r="C9" s="553" t="s">
        <v>302</v>
      </c>
      <c r="D9" s="554" t="s">
        <v>303</v>
      </c>
      <c r="E9" s="555" t="s">
        <v>304</v>
      </c>
      <c r="F9" s="555" t="s">
        <v>305</v>
      </c>
      <c r="G9" s="555" t="s">
        <v>306</v>
      </c>
      <c r="H9" s="556" t="s">
        <v>307</v>
      </c>
      <c r="I9" s="554" t="s">
        <v>303</v>
      </c>
      <c r="J9" s="555" t="s">
        <v>304</v>
      </c>
      <c r="K9" s="555" t="s">
        <v>305</v>
      </c>
      <c r="L9" s="555" t="s">
        <v>306</v>
      </c>
      <c r="M9" s="556" t="s">
        <v>307</v>
      </c>
      <c r="N9" s="562"/>
      <c r="O9" s="562"/>
      <c r="P9" s="562"/>
    </row>
    <row r="10" spans="3:16">
      <c r="C10" s="557" t="e">
        <f>#REF!</f>
        <v>#REF!</v>
      </c>
      <c r="D10" t="e">
        <f t="array" ref="D10:H10">TRUNC(($C10-((10^{15,12,9,6,3})*INT($C10/(10^{15,12,9,6,3}))))/10^{12,9,6,3,0})</f>
        <v>#REF!</v>
      </c>
      <c r="E10" t="e">
        <v>#REF!</v>
      </c>
      <c r="F10" t="e">
        <v>#REF!</v>
      </c>
      <c r="G10" t="e">
        <v>#REF!</v>
      </c>
      <c r="H10" t="e">
        <v>#REF!</v>
      </c>
      <c r="I10" t="e">
        <f>IF($C10&lt;10^15,"",IF(OR(D10=1,AND(D10&gt;=100,MOD(D10,100)=0)),IF(TRUNC(($C10-(10^12*INT($C10/(10^12)))))=0,_e_,_sp_),IF(D10&lt;100,"",_sp_)))&amp;IF(D10=1,INDEX(Sng,1,5),IF(D10&lt;100,"",IF(D10=100,OCem,INDEX(Cem,1,TRUNC(D10/100)))))&amp;IF(MOD(D10,100)=0,"",IF(D10=1,"",IF(OR(MOD(D10,100)&gt;=20,MOD(D10,100)=10),IF(OR(D10&gt;100,AND($C10&gt;10^15,TRUNC(($C10-(10^12*INT($C10/(10^12)))))=0)),_e_,IF($C10&gt;10^15,_sp_,"")),"")))&amp;IF(MOD(D10,100)=0,"",IF(D10=1,"",IF(OR(MOD(D10,100)&gt;=20,MOD(D10,100)=10),INDEX(Dez,1,TRUNC(MOD(D10,100)/10)),"")))&amp;IF(MOD(D10,100)=0,"",IF(D10=1,"",IF(MOD(MOD(D10,100),10)&lt;&gt;0,IF(OR(D10&gt;20,AND($C10&gt;10^15,TRUNC(($C10-(10^12*INT($C10/(10^12)))))=0)),_e_,IF($C10&gt;10^15,_sp_,"")),"")))&amp;IF(D10=0,"",IF(D10=1,"",IF(MOD(MOD(D10,100),10)=0,"",IF(MOD(D10,100)&lt;20,INDEX(Sml,1,MOD(D10,100)),INDEX(Sml,1,MOD(MOD(D10,100),10)))))) &amp; IF(D10&lt;=1,"",INDEX(Plu,1,5))</f>
        <v>#REF!</v>
      </c>
      <c r="J10" t="e">
        <f>IF($C10&lt;10^12,"",IF(OR(E10=1,AND(E10&gt;=100,MOD(E10,100)=0)),IF(TRUNC(($C10-(10^9*INT($C10/(10^9)))))=0,_e_,_sp_),IF(E10&lt;100,"",_sp_)))&amp;IF(E10=1,INDEX(Sng,1,4),IF(E10&lt;100,"",IF(E10=100,OCem,INDEX(Cem,1,TRUNC(E10/100)))))&amp;IF(MOD(E10,100)=0,"",IF(E10=1,"",IF(OR(MOD(E10,100)&gt;=20,MOD(E10,100)=10),IF(OR(E10&gt;100,AND($C10&gt;10^12,TRUNC(($C10-(10^9*INT($C10/(10^9)))))=0)),_e_,IF($C10&gt;10^12,_sp_,"")),"")))&amp;IF(MOD(E10,100)=0,"",IF(E10=1,"",IF(OR(MOD(E10,100)&gt;=20,MOD(E10,100)=10),INDEX(Dez,1,TRUNC(MOD(E10,100)/10)),"")))&amp;IF(MOD(E10,100)=0,"",IF(E10=1,"",IF(MOD(MOD(E10,100),10)&lt;&gt;0,IF(OR(E10&gt;20,AND($C10&gt;10^12,TRUNC(($C10-(10^9*INT($C10/(10^9)))))=0)),_e_,IF($C10&gt;10^12,_sp_,"")),"")))&amp;IF(E10=0,"",IF(E10=1,"",IF(MOD(MOD(E10,100),10)=0,"",IF(MOD(E10,100)&lt;20,INDEX(Sml,1,MOD(E10,100)),INDEX(Sml,1,MOD(MOD(E10,100),10)))))) &amp; IF(E10&lt;=1,"",INDEX(Plu,1,4))</f>
        <v>#REF!</v>
      </c>
      <c r="K10" t="e">
        <f>IF($C10&lt;10^9,"",IF(OR(F10=1,AND(F10&gt;=100,MOD(F10,100)=0)),IF(TRUNC(($C10-(10^6*INT($C10/(10^6)))))=0,_e_,_sp_),IF(F10&lt;100,"",_sp_)))&amp;IF(F10=1,INDEX(Sng,1,3),IF(F10&lt;100,"",IF(F10=100,OCem,INDEX(Cem,1,TRUNC(F10/100)))))&amp;IF(MOD(F10,100)=0,"",IF(F10=1,"",IF(OR(MOD(F10,100)&gt;=20,MOD(F10,100)=10),IF(OR(F10&gt;100,AND($C10&gt;10^9,TRUNC(($C10-(10^6*INT($C10/(10^6)))))=0)),_e_,IF($C10&gt;10^9,_sp_,"")),"")))&amp;IF(MOD(F10,100)=0,"",IF(F10=1,"",IF(OR(MOD(F10,100)&gt;=20,MOD(F10,100)=10),INDEX(Dez,1,TRUNC(MOD(F10,100)/10)),"")))&amp;IF(MOD(F10,100)=0,"",IF(F10=1,"",IF(MOD(MOD(F10,100),10)&lt;&gt;0,IF(OR(F10&gt;20,AND($C10&gt;10^9,TRUNC(($C10-(10^6*INT($C10/(10^6)))))=0)),_e_,IF($C10&gt;10^9,_sp_,"")),"")))&amp;IF(F10=0,"",IF(F10=1,"",IF(MOD(MOD(F10,100),10)=0,"",IF(MOD(F10,100)&lt;20,INDEX(Sml,1,MOD(F10,100)),INDEX(Sml,1,MOD(MOD(F10,100),10)))))) &amp; IF(F10&lt;=1,"",INDEX(Plu,1,3))</f>
        <v>#REF!</v>
      </c>
      <c r="L10" t="e">
        <f>IF($C10&lt;10^6,"",IF(OR(G10=1,AND(G10&gt;=100,MOD(G10,100)=0)),IF(TRUNC(($C10-(10^3*INT($C10/(10^3)))))=0,_e_,_sp_),IF(G10&lt;100,"",_sp_)))&amp;IF(G10=1,INDEX(Sng,1,2),IF(G10&lt;100,"",IF(G10=100,OCem,INDEX(Cem,1,TRUNC(G10/100)))))&amp;IF(MOD(G10,100)=0,"",IF(G10=1,"",IF(OR(MOD(G10,100)&gt;=20,MOD(G10,100)=10),IF(OR(G10&gt;100,AND($C10&gt;10^6,TRUNC(($C10-(10^3*INT($C10/(10^3)))))=0)),_e_,IF($C10&gt;10^6,_sp_,"")),"")))&amp;IF(MOD(G10,100)=0,"",IF(G10=1,"",IF(OR(MOD(G10,100)&gt;=20,MOD(G10,100)=10),INDEX(Dez,1,TRUNC(MOD(G10,100)/10)),"")))&amp;IF(MOD(G10,100)=0,"",IF(G10=1,"",IF(MOD(MOD(G10,100),10)&lt;&gt;0,IF(OR(G10&gt;20,AND($C10&gt;10^6,TRUNC(($C10-(10^3*INT($C10/(10^3)))))=0)),_e_,IF($C10&gt;10^6,_sp_,"")),"")))&amp;IF(G10=0,"",IF(G10=1,"",IF(MOD(MOD(G10,100),10)=0,"",IF(MOD(G10,100)&lt;20,INDEX(Sml,1,MOD(G10,100)),INDEX(Sml,1,MOD(MOD(G10,100),10)))))) &amp; IF(G10&lt;=1,"",INDEX(Plu,1,2))</f>
        <v>#REF!</v>
      </c>
      <c r="M10" t="e">
        <f>IF($C10&lt;10^3,"",IF(OR(H10=1,AND(H10&gt;=100,MOD(H10,100)=0)),IF(TRUNC(($C10-(10^0*INT($C10/(10^0)))))=0,_e_,_sp_),IF(H10&lt;100,"",_sp_)))&amp;IF(H10=1,INDEX(Sng,1,1),IF(H10&lt;100,"",IF(H10=100,OCem,INDEX(Cem,1,TRUNC(H10/100)))))&amp;IF(MOD(H10,100)=0,"",IF(H10=1,"",IF(OR(MOD(H10,100)&gt;=20,MOD(H10,100)=10),IF(OR(H10&gt;100,AND($C10&gt;10^3,TRUNC(($C10-(10^0*INT($C10/(10^0)))))=0)),_e_,IF($C10&gt;10^3,_sp_,"")),"")))&amp;IF(MOD(H10,100)=0,"",IF(H10=1,"",IF(OR(MOD(H10,100)&gt;=20,MOD(H10,100)=10),INDEX(Dez,1,TRUNC(MOD(H10,100)/10)),"")))&amp;IF(MOD(H10,100)=0,"",IF(H10=1,"",IF(MOD(MOD(H10,100),10)&lt;&gt;0,IF(OR(H10&gt;20,AND($C10&gt;10^3,TRUNC(($C10-(10^0*INT($C10/(10^0)))))=0)),_e_,IF($C10&gt;10^3,_sp_,"")),"")))&amp;IF(H10=0,"",IF(H10=1,"",IF(MOD(MOD(H10,100),10)=0,"",IF(MOD(H10,100)&lt;20,INDEX(Sml,1,MOD(H10,100)),INDEX(Sml,1,MOD(MOD(H10,100),10)))))) &amp; IF(H10&lt;=1,"",INDEX(Plu,1,1))</f>
        <v>#REF!</v>
      </c>
      <c r="N10" t="e">
        <f>IF($C10&lt;1,"",IF(TRUNC($C10)=1," real",IF(AND($C10&gt;=10^6,TRUNC($C10-10^6*INT($C10/10^6))=0)," de","") &amp; " reais"))</f>
        <v>#REF!</v>
      </c>
      <c r="O10" t="e">
        <f>IF((ROUND($C10-TRUNC($C10),2)*100)=0,"",IF($C10&gt;=1,_e_,"") &amp; IF((ROUND($C10-TRUNC($C10),2)*100)=1,"um centavo",IF((ROUND($C10-TRUNC($C10),2)*100)&gt;=20,INDEX(Dez,1,TRUNC((ROUND($C10-TRUNC($C10),2)*100)/10)) &amp; IF(MOD((ROUND($C10-TRUNC($C10),2)*100),10)&lt;&gt;0,_e_ &amp; INDEX(Sml,1,MOD((ROUND($C10-TRUNC($C10),2)*100),10)),""),INDEX(Sml,1,(ROUND($C10-TRUNC($C10),2)*100))) &amp; " centavos"))</f>
        <v>#REF!</v>
      </c>
      <c r="P10" t="e">
        <f>I10&amp;J10&amp;K10&amp;L10&amp;M10&amp;N10&amp;O10</f>
        <v>#REF!</v>
      </c>
    </row>
    <row r="14" spans="3:16" ht="13.5" thickBot="1"/>
    <row r="15" spans="3:16" ht="13.5" thickBot="1">
      <c r="D15" s="894" t="s">
        <v>297</v>
      </c>
      <c r="E15" s="895"/>
      <c r="F15" s="895"/>
      <c r="G15" s="895"/>
      <c r="H15" s="896"/>
      <c r="I15" s="894" t="s">
        <v>298</v>
      </c>
      <c r="J15" s="895"/>
      <c r="K15" s="895"/>
      <c r="L15" s="895"/>
      <c r="M15" s="896"/>
      <c r="N15" s="897" t="s">
        <v>299</v>
      </c>
      <c r="O15" s="897" t="s">
        <v>300</v>
      </c>
      <c r="P15" s="897" t="s">
        <v>301</v>
      </c>
    </row>
    <row r="16" spans="3:16" ht="26.25" thickBot="1">
      <c r="C16" s="553" t="s">
        <v>302</v>
      </c>
      <c r="D16" s="554" t="s">
        <v>303</v>
      </c>
      <c r="E16" s="555" t="s">
        <v>304</v>
      </c>
      <c r="F16" s="555" t="s">
        <v>305</v>
      </c>
      <c r="G16" s="555" t="s">
        <v>306</v>
      </c>
      <c r="H16" s="556" t="s">
        <v>307</v>
      </c>
      <c r="I16" s="554" t="s">
        <v>303</v>
      </c>
      <c r="J16" s="555" t="s">
        <v>304</v>
      </c>
      <c r="K16" s="555" t="s">
        <v>305</v>
      </c>
      <c r="L16" s="555" t="s">
        <v>306</v>
      </c>
      <c r="M16" s="556" t="s">
        <v>307</v>
      </c>
      <c r="N16" s="898"/>
      <c r="O16" s="898"/>
      <c r="P16" s="898"/>
    </row>
    <row r="17" spans="3:16">
      <c r="C17" s="557" t="e">
        <f>#REF!</f>
        <v>#REF!</v>
      </c>
      <c r="D17" t="e">
        <f t="array" ref="D17:H17">TRUNC(($C17-((10^{15,12,9,6,3})*INT($C17/(10^{15,12,9,6,3}))))/10^{12,9,6,3,0})</f>
        <v>#REF!</v>
      </c>
      <c r="E17" t="e">
        <v>#REF!</v>
      </c>
      <c r="F17" t="e">
        <v>#REF!</v>
      </c>
      <c r="G17" t="e">
        <v>#REF!</v>
      </c>
      <c r="H17" t="e">
        <v>#REF!</v>
      </c>
      <c r="I17" t="e">
        <f>IF($C17&lt;10^15,"",IF(OR(D17=1,AND(D17&gt;=100,MOD(D17,100)=0)),IF(TRUNC(($C17-(10^12*INT($C17/(10^12)))))=0,_e_,_sp_),IF(D17&lt;100,"",_sp_)))&amp;IF(D17=1,INDEX(Sng,1,5),IF(D17&lt;100,"",IF(D17=100,OCem,INDEX(Cem,1,TRUNC(D17/100)))))&amp;IF(MOD(D17,100)=0,"",IF(D17=1,"",IF(OR(MOD(D17,100)&gt;=20,MOD(D17,100)=10),IF(OR(D17&gt;100,AND($C17&gt;10^15,TRUNC(($C17-(10^12*INT($C17/(10^12)))))=0)),_e_,IF($C17&gt;10^15,_sp_,"")),"")))&amp;IF(MOD(D17,100)=0,"",IF(D17=1,"",IF(OR(MOD(D17,100)&gt;=20,MOD(D17,100)=10),INDEX(Dez,1,TRUNC(MOD(D17,100)/10)),"")))&amp;IF(MOD(D17,100)=0,"",IF(D17=1,"",IF(MOD(MOD(D17,100),10)&lt;&gt;0,IF(OR(D17&gt;20,AND($C17&gt;10^15,TRUNC(($C17-(10^12*INT($C17/(10^12)))))=0)),_e_,IF($C17&gt;10^15,_sp_,"")),"")))&amp;IF(D17=0,"",IF(D17=1,"",IF(MOD(MOD(D17,100),10)=0,"",IF(MOD(D17,100)&lt;20,INDEX(Sml,1,MOD(D17,100)),INDEX(Sml,1,MOD(MOD(D17,100),10)))))) &amp; IF(D17&lt;=1,"",INDEX(Plu,1,5))</f>
        <v>#REF!</v>
      </c>
      <c r="J17" t="e">
        <f>IF($C17&lt;10^12,"",IF(OR(E17=1,AND(E17&gt;=100,MOD(E17,100)=0)),IF(TRUNC(($C17-(10^9*INT($C17/(10^9)))))=0,_e_,_sp_),IF(E17&lt;100,"",_sp_)))&amp;IF(E17=1,INDEX(Sng,1,4),IF(E17&lt;100,"",IF(E17=100,OCem,INDEX(Cem,1,TRUNC(E17/100)))))&amp;IF(MOD(E17,100)=0,"",IF(E17=1,"",IF(OR(MOD(E17,100)&gt;=20,MOD(E17,100)=10),IF(OR(E17&gt;100,AND($C17&gt;10^12,TRUNC(($C17-(10^9*INT($C17/(10^9)))))=0)),_e_,IF($C17&gt;10^12,_sp_,"")),"")))&amp;IF(MOD(E17,100)=0,"",IF(E17=1,"",IF(OR(MOD(E17,100)&gt;=20,MOD(E17,100)=10),INDEX(Dez,1,TRUNC(MOD(E17,100)/10)),"")))&amp;IF(MOD(E17,100)=0,"",IF(E17=1,"",IF(MOD(MOD(E17,100),10)&lt;&gt;0,IF(OR(E17&gt;20,AND($C17&gt;10^12,TRUNC(($C17-(10^9*INT($C17/(10^9)))))=0)),_e_,IF($C17&gt;10^12,_sp_,"")),"")))&amp;IF(E17=0,"",IF(E17=1,"",IF(MOD(MOD(E17,100),10)=0,"",IF(MOD(E17,100)&lt;20,INDEX(Sml,1,MOD(E17,100)),INDEX(Sml,1,MOD(MOD(E17,100),10)))))) &amp; IF(E17&lt;=1,"",INDEX(Plu,1,4))</f>
        <v>#REF!</v>
      </c>
      <c r="K17" t="e">
        <f>IF($C17&lt;10^9,"",IF(OR(F17=1,AND(F17&gt;=100,MOD(F17,100)=0)),IF(TRUNC(($C17-(10^6*INT($C17/(10^6)))))=0,_e_,_sp_),IF(F17&lt;100,"",_sp_)))&amp;IF(F17=1,INDEX(Sng,1,3),IF(F17&lt;100,"",IF(F17=100,OCem,INDEX(Cem,1,TRUNC(F17/100)))))&amp;IF(MOD(F17,100)=0,"",IF(F17=1,"",IF(OR(MOD(F17,100)&gt;=20,MOD(F17,100)=10),IF(OR(F17&gt;100,AND($C17&gt;10^9,TRUNC(($C17-(10^6*INT($C17/(10^6)))))=0)),_e_,IF($C17&gt;10^9,_sp_,"")),"")))&amp;IF(MOD(F17,100)=0,"",IF(F17=1,"",IF(OR(MOD(F17,100)&gt;=20,MOD(F17,100)=10),INDEX(Dez,1,TRUNC(MOD(F17,100)/10)),"")))&amp;IF(MOD(F17,100)=0,"",IF(F17=1,"",IF(MOD(MOD(F17,100),10)&lt;&gt;0,IF(OR(F17&gt;20,AND($C17&gt;10^9,TRUNC(($C17-(10^6*INT($C17/(10^6)))))=0)),_e_,IF($C17&gt;10^9,_sp_,"")),"")))&amp;IF(F17=0,"",IF(F17=1,"",IF(MOD(MOD(F17,100),10)=0,"",IF(MOD(F17,100)&lt;20,INDEX(Sml,1,MOD(F17,100)),INDEX(Sml,1,MOD(MOD(F17,100),10)))))) &amp; IF(F17&lt;=1,"",INDEX(Plu,1,3))</f>
        <v>#REF!</v>
      </c>
      <c r="L17" t="e">
        <f>IF($C17&lt;10^6,"",IF(OR(G17=1,AND(G17&gt;=100,MOD(G17,100)=0)),IF(TRUNC(($C17-(10^3*INT($C17/(10^3)))))=0,_e_,_sp_),IF(G17&lt;100,"",_sp_)))&amp;IF(G17=1,INDEX(Sng,1,2),IF(G17&lt;100,"",IF(G17=100,OCem,INDEX(Cem,1,TRUNC(G17/100)))))&amp;IF(MOD(G17,100)=0,"",IF(G17=1,"",IF(OR(MOD(G17,100)&gt;=20,MOD(G17,100)=10),IF(OR(G17&gt;100,AND($C17&gt;10^6,TRUNC(($C17-(10^3*INT($C17/(10^3)))))=0)),_e_,IF($C17&gt;10^6,_sp_,"")),"")))&amp;IF(MOD(G17,100)=0,"",IF(G17=1,"",IF(OR(MOD(G17,100)&gt;=20,MOD(G17,100)=10),INDEX(Dez,1,TRUNC(MOD(G17,100)/10)),"")))&amp;IF(MOD(G17,100)=0,"",IF(G17=1,"",IF(MOD(MOD(G17,100),10)&lt;&gt;0,IF(OR(G17&gt;20,AND($C17&gt;10^6,TRUNC(($C17-(10^3*INT($C17/(10^3)))))=0)),_e_,IF($C17&gt;10^6,_sp_,"")),"")))&amp;IF(G17=0,"",IF(G17=1,"",IF(MOD(MOD(G17,100),10)=0,"",IF(MOD(G17,100)&lt;20,INDEX(Sml,1,MOD(G17,100)),INDEX(Sml,1,MOD(MOD(G17,100),10)))))) &amp; IF(G17&lt;=1,"",INDEX(Plu,1,2))</f>
        <v>#REF!</v>
      </c>
      <c r="M17" t="e">
        <f>IF($C17&lt;10^3,"",IF(OR(H17=1,AND(H17&gt;=100,MOD(H17,100)=0)),IF(TRUNC(($C17-(10^0*INT($C17/(10^0)))))=0,_e_,_sp_),IF(H17&lt;100,"",_sp_)))&amp;IF(H17=1,INDEX(Sng,1,1),IF(H17&lt;100,"",IF(H17=100,OCem,INDEX(Cem,1,TRUNC(H17/100)))))&amp;IF(MOD(H17,100)=0,"",IF(H17=1,"",IF(OR(MOD(H17,100)&gt;=20,MOD(H17,100)=10),IF(OR(H17&gt;100,AND($C17&gt;10^3,TRUNC(($C17-(10^0*INT($C17/(10^0)))))=0)),_e_,IF($C17&gt;10^3,_sp_,"")),"")))&amp;IF(MOD(H17,100)=0,"",IF(H17=1,"",IF(OR(MOD(H17,100)&gt;=20,MOD(H17,100)=10),INDEX(Dez,1,TRUNC(MOD(H17,100)/10)),"")))&amp;IF(MOD(H17,100)=0,"",IF(H17=1,"",IF(MOD(MOD(H17,100),10)&lt;&gt;0,IF(OR(H17&gt;20,AND($C17&gt;10^3,TRUNC(($C17-(10^0*INT($C17/(10^0)))))=0)),_e_,IF($C17&gt;10^3,_sp_,"")),"")))&amp;IF(H17=0,"",IF(H17=1,"",IF(MOD(MOD(H17,100),10)=0,"",IF(MOD(H17,100)&lt;20,INDEX(Sml,1,MOD(H17,100)),INDEX(Sml,1,MOD(MOD(H17,100),10)))))) &amp; IF(H17&lt;=1,"",INDEX(Plu,1,1))</f>
        <v>#REF!</v>
      </c>
      <c r="N17" t="e">
        <f>IF($C17&lt;1,"",IF(TRUNC($C17)=1," real",IF(AND($C17&gt;=10^6,TRUNC($C17-10^6*INT($C17/10^6))=0)," de","") &amp; " reais"))</f>
        <v>#REF!</v>
      </c>
      <c r="O17" t="e">
        <f>IF((ROUND($C17-TRUNC($C17),2)*100)=0,"",IF($C17&gt;=1,_e_,"") &amp; IF((ROUND($C17-TRUNC($C17),2)*100)=1,"um centavo",IF((ROUND($C17-TRUNC($C17),2)*100)&gt;=20,INDEX(Dez,1,TRUNC((ROUND($C17-TRUNC($C17),2)*100)/10)) &amp; IF(MOD((ROUND($C17-TRUNC($C17),2)*100),10)&lt;&gt;0,_e_ &amp; INDEX(Sml,1,MOD((ROUND($C17-TRUNC($C17),2)*100),10)),""),INDEX(Sml,1,(ROUND($C17-TRUNC($C17),2)*100))) &amp; " centavos"))</f>
        <v>#REF!</v>
      </c>
      <c r="P17" t="e">
        <f>I17&amp;J17&amp;K17&amp;L17&amp;M17&amp;N17&amp;O17</f>
        <v>#REF!</v>
      </c>
    </row>
    <row r="20" spans="3:16" ht="13.5" thickBot="1"/>
    <row r="21" spans="3:16" ht="13.5" thickBot="1">
      <c r="D21" s="558" t="s">
        <v>297</v>
      </c>
      <c r="E21" s="559"/>
      <c r="F21" s="559"/>
      <c r="G21" s="559"/>
      <c r="H21" s="560"/>
      <c r="I21" s="558" t="s">
        <v>298</v>
      </c>
      <c r="J21" s="559"/>
      <c r="K21" s="559"/>
      <c r="L21" s="559"/>
      <c r="M21" s="560"/>
      <c r="N21" s="561" t="s">
        <v>299</v>
      </c>
      <c r="O21" s="561" t="s">
        <v>300</v>
      </c>
      <c r="P21" s="561" t="s">
        <v>301</v>
      </c>
    </row>
    <row r="22" spans="3:16" ht="26.25" thickBot="1">
      <c r="C22" s="553" t="s">
        <v>302</v>
      </c>
      <c r="D22" s="554" t="s">
        <v>303</v>
      </c>
      <c r="E22" s="555" t="s">
        <v>304</v>
      </c>
      <c r="F22" s="555" t="s">
        <v>305</v>
      </c>
      <c r="G22" s="555" t="s">
        <v>306</v>
      </c>
      <c r="H22" s="556" t="s">
        <v>307</v>
      </c>
      <c r="I22" s="554" t="s">
        <v>303</v>
      </c>
      <c r="J22" s="555" t="s">
        <v>304</v>
      </c>
      <c r="K22" s="555" t="s">
        <v>305</v>
      </c>
      <c r="L22" s="555" t="s">
        <v>306</v>
      </c>
      <c r="M22" s="556" t="s">
        <v>307</v>
      </c>
      <c r="N22" s="562"/>
      <c r="O22" s="562"/>
      <c r="P22" s="562"/>
    </row>
    <row r="23" spans="3:16">
      <c r="C23" s="557">
        <f>'[2]PROPOSTA RESUMO'!L55</f>
        <v>18040</v>
      </c>
      <c r="D23">
        <f t="array" ref="D23:H23">TRUNC(($C23-((10^{15,12,9,6,3})*INT($C23/(10^{15,12,9,6,3}))))/10^{12,9,6,3,0})</f>
        <v>0</v>
      </c>
      <c r="E23">
        <v>0</v>
      </c>
      <c r="F23">
        <v>0</v>
      </c>
      <c r="G23">
        <v>18</v>
      </c>
      <c r="H23">
        <v>40</v>
      </c>
      <c r="I23" t="str">
        <f>IF($C23&lt;10^15,"",IF(OR(D23=1,AND(D23&gt;=100,MOD(D23,100)=0)),IF(TRUNC(($C23-(10^12*INT($C23/(10^12)))))=0,_e_,_sp_),IF(D23&lt;100,"",_sp_)))&amp;IF(D23=1,INDEX(Sng,1,5),IF(D23&lt;100,"",IF(D23=100,OCem,INDEX(Cem,1,TRUNC(D23/100)))))&amp;IF(MOD(D23,100)=0,"",IF(D23=1,"",IF(OR(MOD(D23,100)&gt;=20,MOD(D23,100)=10),IF(OR(D23&gt;100,AND($C23&gt;10^15,TRUNC(($C23-(10^12*INT($C23/(10^12)))))=0)),_e_,IF($C23&gt;10^15,_sp_,"")),"")))&amp;IF(MOD(D23,100)=0,"",IF(D23=1,"",IF(OR(MOD(D23,100)&gt;=20,MOD(D23,100)=10),INDEX(Dez,1,TRUNC(MOD(D23,100)/10)),"")))&amp;IF(MOD(D23,100)=0,"",IF(D23=1,"",IF(MOD(MOD(D23,100),10)&lt;&gt;0,IF(OR(D23&gt;20,AND($C23&gt;10^15,TRUNC(($C23-(10^12*INT($C23/(10^12)))))=0)),_e_,IF($C23&gt;10^15,_sp_,"")),"")))&amp;IF(D23=0,"",IF(D23=1,"",IF(MOD(MOD(D23,100),10)=0,"",IF(MOD(D23,100)&lt;20,INDEX(Sml,1,MOD(D23,100)),INDEX(Sml,1,MOD(MOD(D23,100),10)))))) &amp; IF(D23&lt;=1,"",INDEX(Plu,1,5))</f>
        <v/>
      </c>
      <c r="J23" t="str">
        <f>IF($C23&lt;10^12,"",IF(OR(E23=1,AND(E23&gt;=100,MOD(E23,100)=0)),IF(TRUNC(($C23-(10^9*INT($C23/(10^9)))))=0,_e_,_sp_),IF(E23&lt;100,"",_sp_)))&amp;IF(E23=1,INDEX(Sng,1,4),IF(E23&lt;100,"",IF(E23=100,OCem,INDEX(Cem,1,TRUNC(E23/100)))))&amp;IF(MOD(E23,100)=0,"",IF(E23=1,"",IF(OR(MOD(E23,100)&gt;=20,MOD(E23,100)=10),IF(OR(E23&gt;100,AND($C23&gt;10^12,TRUNC(($C23-(10^9*INT($C23/(10^9)))))=0)),_e_,IF($C23&gt;10^12,_sp_,"")),"")))&amp;IF(MOD(E23,100)=0,"",IF(E23=1,"",IF(OR(MOD(E23,100)&gt;=20,MOD(E23,100)=10),INDEX(Dez,1,TRUNC(MOD(E23,100)/10)),"")))&amp;IF(MOD(E23,100)=0,"",IF(E23=1,"",IF(MOD(MOD(E23,100),10)&lt;&gt;0,IF(OR(E23&gt;20,AND($C23&gt;10^12,TRUNC(($C23-(10^9*INT($C23/(10^9)))))=0)),_e_,IF($C23&gt;10^12,_sp_,"")),"")))&amp;IF(E23=0,"",IF(E23=1,"",IF(MOD(MOD(E23,100),10)=0,"",IF(MOD(E23,100)&lt;20,INDEX(Sml,1,MOD(E23,100)),INDEX(Sml,1,MOD(MOD(E23,100),10)))))) &amp; IF(E23&lt;=1,"",INDEX(Plu,1,4))</f>
        <v/>
      </c>
      <c r="K23" t="str">
        <f>IF($C23&lt;10^9,"",IF(OR(F23=1,AND(F23&gt;=100,MOD(F23,100)=0)),IF(TRUNC(($C23-(10^6*INT($C23/(10^6)))))=0,_e_,_sp_),IF(F23&lt;100,"",_sp_)))&amp;IF(F23=1,INDEX(Sng,1,3),IF(F23&lt;100,"",IF(F23=100,OCem,INDEX(Cem,1,TRUNC(F23/100)))))&amp;IF(MOD(F23,100)=0,"",IF(F23=1,"",IF(OR(MOD(F23,100)&gt;=20,MOD(F23,100)=10),IF(OR(F23&gt;100,AND($C23&gt;10^9,TRUNC(($C23-(10^6*INT($C23/(10^6)))))=0)),_e_,IF($C23&gt;10^9,_sp_,"")),"")))&amp;IF(MOD(F23,100)=0,"",IF(F23=1,"",IF(OR(MOD(F23,100)&gt;=20,MOD(F23,100)=10),INDEX(Dez,1,TRUNC(MOD(F23,100)/10)),"")))&amp;IF(MOD(F23,100)=0,"",IF(F23=1,"",IF(MOD(MOD(F23,100),10)&lt;&gt;0,IF(OR(F23&gt;20,AND($C23&gt;10^9,TRUNC(($C23-(10^6*INT($C23/(10^6)))))=0)),_e_,IF($C23&gt;10^9,_sp_,"")),"")))&amp;IF(F23=0,"",IF(F23=1,"",IF(MOD(MOD(F23,100),10)=0,"",IF(MOD(F23,100)&lt;20,INDEX(Sml,1,MOD(F23,100)),INDEX(Sml,1,MOD(MOD(F23,100),10)))))) &amp; IF(F23&lt;=1,"",INDEX(Plu,1,3))</f>
        <v/>
      </c>
      <c r="L23" t="str">
        <f>IF($C23&lt;10^6,"",IF(OR(G23=1,AND(G23&gt;=100,MOD(G23,100)=0)),IF(TRUNC(($C23-(10^3*INT($C23/(10^3)))))=0,_e_,_sp_),IF(G23&lt;100,"",_sp_)))&amp;IF(G23=1,INDEX(Sng,1,2),IF(G23&lt;100,"",IF(G23=100,OCem,INDEX(Cem,1,TRUNC(G23/100)))))&amp;IF(MOD(G23,100)=0,"",IF(G23=1,"",IF(OR(MOD(G23,100)&gt;=20,MOD(G23,100)=10),IF(OR(G23&gt;100,AND($C23&gt;10^6,TRUNC(($C23-(10^3*INT($C23/(10^3)))))=0)),_e_,IF($C23&gt;10^6,_sp_,"")),"")))&amp;IF(MOD(G23,100)=0,"",IF(G23=1,"",IF(OR(MOD(G23,100)&gt;=20,MOD(G23,100)=10),INDEX(Dez,1,TRUNC(MOD(G23,100)/10)),"")))&amp;IF(MOD(G23,100)=0,"",IF(G23=1,"",IF(MOD(MOD(G23,100),10)&lt;&gt;0,IF(OR(G23&gt;20,AND($C23&gt;10^6,TRUNC(($C23-(10^3*INT($C23/(10^3)))))=0)),_e_,IF($C23&gt;10^6,_sp_,"")),"")))&amp;IF(G23=0,"",IF(G23=1,"",IF(MOD(MOD(G23,100),10)=0,"",IF(MOD(G23,100)&lt;20,INDEX(Sml,1,MOD(G23,100)),INDEX(Sml,1,MOD(MOD(G23,100),10)))))) &amp; IF(G23&lt;=1,"",INDEX(Plu,1,2))</f>
        <v>dezoito mil</v>
      </c>
      <c r="M23" t="str">
        <f>IF($C23&lt;10^3,"",IF(OR(H23=1,AND(H23&gt;=100,MOD(H23,100)=0)),IF(TRUNC(($C23-(10^0*INT($C23/(10^0)))))=0,_e_,_sp_),IF(H23&lt;100,"",_sp_)))&amp;IF(H23=1,INDEX(Sng,1,1),IF(H23&lt;100,"",IF(H23=100,OCem,INDEX(Cem,1,TRUNC(H23/100)))))&amp;IF(MOD(H23,100)=0,"",IF(H23=1,"",IF(OR(MOD(H23,100)&gt;=20,MOD(H23,100)=10),IF(OR(H23&gt;100,AND($C23&gt;10^3,TRUNC(($C23-(10^0*INT($C23/(10^0)))))=0)),_e_,IF($C23&gt;10^3,_sp_,"")),"")))&amp;IF(MOD(H23,100)=0,"",IF(H23=1,"",IF(OR(MOD(H23,100)&gt;=20,MOD(H23,100)=10),INDEX(Dez,1,TRUNC(MOD(H23,100)/10)),"")))&amp;IF(MOD(H23,100)=0,"",IF(H23=1,"",IF(MOD(MOD(H23,100),10)&lt;&gt;0,IF(OR(H23&gt;20,AND($C23&gt;10^3,TRUNC(($C23-(10^0*INT($C23/(10^0)))))=0)),_e_,IF($C23&gt;10^3,_sp_,"")),"")))&amp;IF(H23=0,"",IF(H23=1,"",IF(MOD(MOD(H23,100),10)=0,"",IF(MOD(H23,100)&lt;20,INDEX(Sml,1,MOD(H23,100)),INDEX(Sml,1,MOD(MOD(H23,100),10)))))) &amp; IF(H23&lt;=1,"",INDEX(Plu,1,1))</f>
        <v xml:space="preserve"> e quarenta</v>
      </c>
      <c r="N23" t="str">
        <f>IF($C23&lt;1,"",IF(TRUNC($C23)=1," real",IF(AND($C23&gt;=10^6,TRUNC($C23-10^6*INT($C23/10^6))=0)," de","") &amp; " reais"))</f>
        <v xml:space="preserve"> reais</v>
      </c>
      <c r="O23" t="str">
        <f>IF((ROUND($C23-TRUNC($C23),2)*100)=0,"",IF($C23&gt;=1,_e_,"") &amp; IF((ROUND($C23-TRUNC($C23),2)*100)=1,"um centavo",IF((ROUND($C23-TRUNC($C23),2)*100)&gt;=20,INDEX(Dez,1,TRUNC((ROUND($C23-TRUNC($C23),2)*100)/10)) &amp; IF(MOD((ROUND($C23-TRUNC($C23),2)*100),10)&lt;&gt;0,_e_ &amp; INDEX(Sml,1,MOD((ROUND($C23-TRUNC($C23),2)*100),10)),""),INDEX(Sml,1,(ROUND($C23-TRUNC($C23),2)*100))) &amp; " centavos"))</f>
        <v/>
      </c>
      <c r="P23" t="str">
        <f>I23&amp;J23&amp;K23&amp;L23&amp;M23&amp;N23&amp;O23</f>
        <v>dezoito mil e quarenta reais</v>
      </c>
    </row>
    <row r="26" spans="3:16" ht="13.5" thickBot="1"/>
    <row r="27" spans="3:16" ht="13.5" thickBot="1">
      <c r="D27" s="894" t="s">
        <v>297</v>
      </c>
      <c r="E27" s="895"/>
      <c r="F27" s="895"/>
      <c r="G27" s="895"/>
      <c r="H27" s="896"/>
      <c r="I27" s="894" t="s">
        <v>298</v>
      </c>
      <c r="J27" s="895"/>
      <c r="K27" s="895"/>
      <c r="L27" s="895"/>
      <c r="M27" s="896"/>
      <c r="N27" s="897" t="s">
        <v>299</v>
      </c>
      <c r="O27" s="897" t="s">
        <v>300</v>
      </c>
      <c r="P27" s="897" t="s">
        <v>301</v>
      </c>
    </row>
    <row r="28" spans="3:16" ht="26.25" thickBot="1">
      <c r="C28" s="553" t="s">
        <v>302</v>
      </c>
      <c r="D28" s="554" t="s">
        <v>303</v>
      </c>
      <c r="E28" s="555" t="s">
        <v>304</v>
      </c>
      <c r="F28" s="555" t="s">
        <v>305</v>
      </c>
      <c r="G28" s="555" t="s">
        <v>306</v>
      </c>
      <c r="H28" s="556" t="s">
        <v>307</v>
      </c>
      <c r="I28" s="554" t="s">
        <v>303</v>
      </c>
      <c r="J28" s="555" t="s">
        <v>304</v>
      </c>
      <c r="K28" s="555" t="s">
        <v>305</v>
      </c>
      <c r="L28" s="555" t="s">
        <v>306</v>
      </c>
      <c r="M28" s="556" t="s">
        <v>307</v>
      </c>
      <c r="N28" s="898"/>
      <c r="O28" s="898"/>
      <c r="P28" s="898"/>
    </row>
    <row r="29" spans="3:16">
      <c r="C29" s="557">
        <f>'[2]PROPOSTA RESUMO'!L56</f>
        <v>216480</v>
      </c>
      <c r="D29">
        <f t="array" ref="D29:H29">TRUNC(($C29-((10^{15,12,9,6,3})*INT($C29/(10^{15,12,9,6,3}))))/10^{12,9,6,3,0})</f>
        <v>0</v>
      </c>
      <c r="E29">
        <v>0</v>
      </c>
      <c r="F29">
        <v>0</v>
      </c>
      <c r="G29">
        <v>216</v>
      </c>
      <c r="H29">
        <v>480</v>
      </c>
      <c r="I29" t="str">
        <f>IF($C29&lt;10^15,"",IF(OR(D29=1,AND(D29&gt;=100,MOD(D29,100)=0)),IF(TRUNC(($C29-(10^12*INT($C29/(10^12)))))=0,_e_,_sp_),IF(D29&lt;100,"",_sp_)))&amp;IF(D29=1,INDEX(Sng,1,5),IF(D29&lt;100,"",IF(D29=100,OCem,INDEX(Cem,1,TRUNC(D29/100)))))&amp;IF(MOD(D29,100)=0,"",IF(D29=1,"",IF(OR(MOD(D29,100)&gt;=20,MOD(D29,100)=10),IF(OR(D29&gt;100,AND($C29&gt;10^15,TRUNC(($C29-(10^12*INT($C29/(10^12)))))=0)),_e_,IF($C29&gt;10^15,_sp_,"")),"")))&amp;IF(MOD(D29,100)=0,"",IF(D29=1,"",IF(OR(MOD(D29,100)&gt;=20,MOD(D29,100)=10),INDEX(Dez,1,TRUNC(MOD(D29,100)/10)),"")))&amp;IF(MOD(D29,100)=0,"",IF(D29=1,"",IF(MOD(MOD(D29,100),10)&lt;&gt;0,IF(OR(D29&gt;20,AND($C29&gt;10^15,TRUNC(($C29-(10^12*INT($C29/(10^12)))))=0)),_e_,IF($C29&gt;10^15,_sp_,"")),"")))&amp;IF(D29=0,"",IF(D29=1,"",IF(MOD(MOD(D29,100),10)=0,"",IF(MOD(D29,100)&lt;20,INDEX(Sml,1,MOD(D29,100)),INDEX(Sml,1,MOD(MOD(D29,100),10)))))) &amp; IF(D29&lt;=1,"",INDEX(Plu,1,5))</f>
        <v/>
      </c>
      <c r="J29" t="str">
        <f>IF($C29&lt;10^12,"",IF(OR(E29=1,AND(E29&gt;=100,MOD(E29,100)=0)),IF(TRUNC(($C29-(10^9*INT($C29/(10^9)))))=0,_e_,_sp_),IF(E29&lt;100,"",_sp_)))&amp;IF(E29=1,INDEX(Sng,1,4),IF(E29&lt;100,"",IF(E29=100,OCem,INDEX(Cem,1,TRUNC(E29/100)))))&amp;IF(MOD(E29,100)=0,"",IF(E29=1,"",IF(OR(MOD(E29,100)&gt;=20,MOD(E29,100)=10),IF(OR(E29&gt;100,AND($C29&gt;10^12,TRUNC(($C29-(10^9*INT($C29/(10^9)))))=0)),_e_,IF($C29&gt;10^12,_sp_,"")),"")))&amp;IF(MOD(E29,100)=0,"",IF(E29=1,"",IF(OR(MOD(E29,100)&gt;=20,MOD(E29,100)=10),INDEX(Dez,1,TRUNC(MOD(E29,100)/10)),"")))&amp;IF(MOD(E29,100)=0,"",IF(E29=1,"",IF(MOD(MOD(E29,100),10)&lt;&gt;0,IF(OR(E29&gt;20,AND($C29&gt;10^12,TRUNC(($C29-(10^9*INT($C29/(10^9)))))=0)),_e_,IF($C29&gt;10^12,_sp_,"")),"")))&amp;IF(E29=0,"",IF(E29=1,"",IF(MOD(MOD(E29,100),10)=0,"",IF(MOD(E29,100)&lt;20,INDEX(Sml,1,MOD(E29,100)),INDEX(Sml,1,MOD(MOD(E29,100),10)))))) &amp; IF(E29&lt;=1,"",INDEX(Plu,1,4))</f>
        <v/>
      </c>
      <c r="K29" t="str">
        <f>IF($C29&lt;10^9,"",IF(OR(F29=1,AND(F29&gt;=100,MOD(F29,100)=0)),IF(TRUNC(($C29-(10^6*INT($C29/(10^6)))))=0,_e_,_sp_),IF(F29&lt;100,"",_sp_)))&amp;IF(F29=1,INDEX(Sng,1,3),IF(F29&lt;100,"",IF(F29=100,OCem,INDEX(Cem,1,TRUNC(F29/100)))))&amp;IF(MOD(F29,100)=0,"",IF(F29=1,"",IF(OR(MOD(F29,100)&gt;=20,MOD(F29,100)=10),IF(OR(F29&gt;100,AND($C29&gt;10^9,TRUNC(($C29-(10^6*INT($C29/(10^6)))))=0)),_e_,IF($C29&gt;10^9,_sp_,"")),"")))&amp;IF(MOD(F29,100)=0,"",IF(F29=1,"",IF(OR(MOD(F29,100)&gt;=20,MOD(F29,100)=10),INDEX(Dez,1,TRUNC(MOD(F29,100)/10)),"")))&amp;IF(MOD(F29,100)=0,"",IF(F29=1,"",IF(MOD(MOD(F29,100),10)&lt;&gt;0,IF(OR(F29&gt;20,AND($C29&gt;10^9,TRUNC(($C29-(10^6*INT($C29/(10^6)))))=0)),_e_,IF($C29&gt;10^9,_sp_,"")),"")))&amp;IF(F29=0,"",IF(F29=1,"",IF(MOD(MOD(F29,100),10)=0,"",IF(MOD(F29,100)&lt;20,INDEX(Sml,1,MOD(F29,100)),INDEX(Sml,1,MOD(MOD(F29,100),10)))))) &amp; IF(F29&lt;=1,"",INDEX(Plu,1,3))</f>
        <v/>
      </c>
      <c r="L29" t="str">
        <f>IF($C29&lt;10^6,"",IF(OR(G29=1,AND(G29&gt;=100,MOD(G29,100)=0)),IF(TRUNC(($C29-(10^3*INT($C29/(10^3)))))=0,_e_,_sp_),IF(G29&lt;100,"",_sp_)))&amp;IF(G29=1,INDEX(Sng,1,2),IF(G29&lt;100,"",IF(G29=100,OCem,INDEX(Cem,1,TRUNC(G29/100)))))&amp;IF(MOD(G29,100)=0,"",IF(G29=1,"",IF(OR(MOD(G29,100)&gt;=20,MOD(G29,100)=10),IF(OR(G29&gt;100,AND($C29&gt;10^6,TRUNC(($C29-(10^3*INT($C29/(10^3)))))=0)),_e_,IF($C29&gt;10^6,_sp_,"")),"")))&amp;IF(MOD(G29,100)=0,"",IF(G29=1,"",IF(OR(MOD(G29,100)&gt;=20,MOD(G29,100)=10),INDEX(Dez,1,TRUNC(MOD(G29,100)/10)),"")))&amp;IF(MOD(G29,100)=0,"",IF(G29=1,"",IF(MOD(MOD(G29,100),10)&lt;&gt;0,IF(OR(G29&gt;20,AND($C29&gt;10^6,TRUNC(($C29-(10^3*INT($C29/(10^3)))))=0)),_e_,IF($C29&gt;10^6,_sp_,"")),"")))&amp;IF(G29=0,"",IF(G29=1,"",IF(MOD(MOD(G29,100),10)=0,"",IF(MOD(G29,100)&lt;20,INDEX(Sml,1,MOD(G29,100)),INDEX(Sml,1,MOD(MOD(G29,100),10)))))) &amp; IF(G29&lt;=1,"",INDEX(Plu,1,2))</f>
        <v>duzentos e dezesseis mil</v>
      </c>
      <c r="M29" t="str">
        <f>IF($C29&lt;10^3,"",IF(OR(H29=1,AND(H29&gt;=100,MOD(H29,100)=0)),IF(TRUNC(($C29-(10^0*INT($C29/(10^0)))))=0,_e_,_sp_),IF(H29&lt;100,"",_sp_)))&amp;IF(H29=1,INDEX(Sng,1,1),IF(H29&lt;100,"",IF(H29=100,OCem,INDEX(Cem,1,TRUNC(H29/100)))))&amp;IF(MOD(H29,100)=0,"",IF(H29=1,"",IF(OR(MOD(H29,100)&gt;=20,MOD(H29,100)=10),IF(OR(H29&gt;100,AND($C29&gt;10^3,TRUNC(($C29-(10^0*INT($C29/(10^0)))))=0)),_e_,IF($C29&gt;10^3,_sp_,"")),"")))&amp;IF(MOD(H29,100)=0,"",IF(H29=1,"",IF(OR(MOD(H29,100)&gt;=20,MOD(H29,100)=10),INDEX(Dez,1,TRUNC(MOD(H29,100)/10)),"")))&amp;IF(MOD(H29,100)=0,"",IF(H29=1,"",IF(MOD(MOD(H29,100),10)&lt;&gt;0,IF(OR(H29&gt;20,AND($C29&gt;10^3,TRUNC(($C29-(10^0*INT($C29/(10^0)))))=0)),_e_,IF($C29&gt;10^3,_sp_,"")),"")))&amp;IF(H29=0,"",IF(H29=1,"",IF(MOD(MOD(H29,100),10)=0,"",IF(MOD(H29,100)&lt;20,INDEX(Sml,1,MOD(H29,100)),INDEX(Sml,1,MOD(MOD(H29,100),10)))))) &amp; IF(H29&lt;=1,"",INDEX(Plu,1,1))</f>
        <v xml:space="preserve"> quatrocentos e oitenta</v>
      </c>
      <c r="N29" t="str">
        <f>IF($C29&lt;1,"",IF(TRUNC($C29)=1," real",IF(AND($C29&gt;=10^6,TRUNC($C29-10^6*INT($C29/10^6))=0)," de","") &amp; " reais"))</f>
        <v xml:space="preserve"> reais</v>
      </c>
      <c r="O29" t="str">
        <f>IF((ROUND($C29-TRUNC($C29),2)*100)=0,"",IF($C29&gt;=1,_e_,"") &amp; IF((ROUND($C29-TRUNC($C29),2)*100)=1,"um centavo",IF((ROUND($C29-TRUNC($C29),2)*100)&gt;=20,INDEX(Dez,1,TRUNC((ROUND($C29-TRUNC($C29),2)*100)/10)) &amp; IF(MOD((ROUND($C29-TRUNC($C29),2)*100),10)&lt;&gt;0,_e_ &amp; INDEX(Sml,1,MOD((ROUND($C29-TRUNC($C29),2)*100),10)),""),INDEX(Sml,1,(ROUND($C29-TRUNC($C29),2)*100))) &amp; " centavos"))</f>
        <v/>
      </c>
      <c r="P29" t="str">
        <f>I29&amp;J29&amp;K29&amp;L29&amp;M29&amp;N29&amp;O29</f>
        <v>duzentos e dezesseis mil quatrocentos e oitenta reais</v>
      </c>
    </row>
    <row r="32" spans="3:16" ht="13.5" thickBot="1"/>
    <row r="33" spans="3:16" ht="13.5" thickBot="1">
      <c r="D33" s="558" t="s">
        <v>297</v>
      </c>
      <c r="E33" s="559"/>
      <c r="F33" s="559"/>
      <c r="G33" s="559"/>
      <c r="H33" s="560"/>
      <c r="I33" s="558" t="s">
        <v>298</v>
      </c>
      <c r="J33" s="559"/>
      <c r="K33" s="559"/>
      <c r="L33" s="559"/>
      <c r="M33" s="560"/>
      <c r="N33" s="561" t="s">
        <v>299</v>
      </c>
      <c r="O33" s="561" t="s">
        <v>300</v>
      </c>
      <c r="P33" s="561" t="s">
        <v>301</v>
      </c>
    </row>
    <row r="34" spans="3:16" ht="26.25" thickBot="1">
      <c r="C34" s="553" t="s">
        <v>302</v>
      </c>
      <c r="D34" s="554" t="s">
        <v>303</v>
      </c>
      <c r="E34" s="555" t="s">
        <v>304</v>
      </c>
      <c r="F34" s="555" t="s">
        <v>305</v>
      </c>
      <c r="G34" s="555" t="s">
        <v>306</v>
      </c>
      <c r="H34" s="556" t="s">
        <v>307</v>
      </c>
      <c r="I34" s="554" t="s">
        <v>303</v>
      </c>
      <c r="J34" s="555" t="s">
        <v>304</v>
      </c>
      <c r="K34" s="555" t="s">
        <v>305</v>
      </c>
      <c r="L34" s="555" t="s">
        <v>306</v>
      </c>
      <c r="M34" s="556" t="s">
        <v>307</v>
      </c>
      <c r="N34" s="562"/>
      <c r="O34" s="562"/>
      <c r="P34" s="562"/>
    </row>
    <row r="35" spans="3:16">
      <c r="C35" s="557">
        <f>'[2]PROPOSTA RESUMO'!L41</f>
        <v>19620</v>
      </c>
      <c r="D35">
        <f t="array" ref="D35:H35">TRUNC(($C35-((10^{15,12,9,6,3})*INT($C35/(10^{15,12,9,6,3}))))/10^{12,9,6,3,0})</f>
        <v>0</v>
      </c>
      <c r="E35">
        <v>0</v>
      </c>
      <c r="F35">
        <v>0</v>
      </c>
      <c r="G35">
        <v>19</v>
      </c>
      <c r="H35">
        <v>620</v>
      </c>
      <c r="I35" t="str">
        <f>IF($C35&lt;10^15,"",IF(OR(D35=1,AND(D35&gt;=100,MOD(D35,100)=0)),IF(TRUNC(($C35-(10^12*INT($C35/(10^12)))))=0,_e_,_sp_),IF(D35&lt;100,"",_sp_)))&amp;IF(D35=1,INDEX(Sng,1,5),IF(D35&lt;100,"",IF(D35=100,OCem,INDEX(Cem,1,TRUNC(D35/100)))))&amp;IF(MOD(D35,100)=0,"",IF(D35=1,"",IF(OR(MOD(D35,100)&gt;=20,MOD(D35,100)=10),IF(OR(D35&gt;100,AND($C35&gt;10^15,TRUNC(($C35-(10^12*INT($C35/(10^12)))))=0)),_e_,IF($C35&gt;10^15,_sp_,"")),"")))&amp;IF(MOD(D35,100)=0,"",IF(D35=1,"",IF(OR(MOD(D35,100)&gt;=20,MOD(D35,100)=10),INDEX(Dez,1,TRUNC(MOD(D35,100)/10)),"")))&amp;IF(MOD(D35,100)=0,"",IF(D35=1,"",IF(MOD(MOD(D35,100),10)&lt;&gt;0,IF(OR(D35&gt;20,AND($C35&gt;10^15,TRUNC(($C35-(10^12*INT($C35/(10^12)))))=0)),_e_,IF($C35&gt;10^15,_sp_,"")),"")))&amp;IF(D35=0,"",IF(D35=1,"",IF(MOD(MOD(D35,100),10)=0,"",IF(MOD(D35,100)&lt;20,INDEX(Sml,1,MOD(D35,100)),INDEX(Sml,1,MOD(MOD(D35,100),10)))))) &amp; IF(D35&lt;=1,"",INDEX(Plu,1,5))</f>
        <v/>
      </c>
      <c r="J35" t="str">
        <f>IF($C35&lt;10^12,"",IF(OR(E35=1,AND(E35&gt;=100,MOD(E35,100)=0)),IF(TRUNC(($C35-(10^9*INT($C35/(10^9)))))=0,_e_,_sp_),IF(E35&lt;100,"",_sp_)))&amp;IF(E35=1,INDEX(Sng,1,4),IF(E35&lt;100,"",IF(E35=100,OCem,INDEX(Cem,1,TRUNC(E35/100)))))&amp;IF(MOD(E35,100)=0,"",IF(E35=1,"",IF(OR(MOD(E35,100)&gt;=20,MOD(E35,100)=10),IF(OR(E35&gt;100,AND($C35&gt;10^12,TRUNC(($C35-(10^9*INT($C35/(10^9)))))=0)),_e_,IF($C35&gt;10^12,_sp_,"")),"")))&amp;IF(MOD(E35,100)=0,"",IF(E35=1,"",IF(OR(MOD(E35,100)&gt;=20,MOD(E35,100)=10),INDEX(Dez,1,TRUNC(MOD(E35,100)/10)),"")))&amp;IF(MOD(E35,100)=0,"",IF(E35=1,"",IF(MOD(MOD(E35,100),10)&lt;&gt;0,IF(OR(E35&gt;20,AND($C35&gt;10^12,TRUNC(($C35-(10^9*INT($C35/(10^9)))))=0)),_e_,IF($C35&gt;10^12,_sp_,"")),"")))&amp;IF(E35=0,"",IF(E35=1,"",IF(MOD(MOD(E35,100),10)=0,"",IF(MOD(E35,100)&lt;20,INDEX(Sml,1,MOD(E35,100)),INDEX(Sml,1,MOD(MOD(E35,100),10)))))) &amp; IF(E35&lt;=1,"",INDEX(Plu,1,4))</f>
        <v/>
      </c>
      <c r="K35" t="str">
        <f>IF($C35&lt;10^9,"",IF(OR(F35=1,AND(F35&gt;=100,MOD(F35,100)=0)),IF(TRUNC(($C35-(10^6*INT($C35/(10^6)))))=0,_e_,_sp_),IF(F35&lt;100,"",_sp_)))&amp;IF(F35=1,INDEX(Sng,1,3),IF(F35&lt;100,"",IF(F35=100,OCem,INDEX(Cem,1,TRUNC(F35/100)))))&amp;IF(MOD(F35,100)=0,"",IF(F35=1,"",IF(OR(MOD(F35,100)&gt;=20,MOD(F35,100)=10),IF(OR(F35&gt;100,AND($C35&gt;10^9,TRUNC(($C35-(10^6*INT($C35/(10^6)))))=0)),_e_,IF($C35&gt;10^9,_sp_,"")),"")))&amp;IF(MOD(F35,100)=0,"",IF(F35=1,"",IF(OR(MOD(F35,100)&gt;=20,MOD(F35,100)=10),INDEX(Dez,1,TRUNC(MOD(F35,100)/10)),"")))&amp;IF(MOD(F35,100)=0,"",IF(F35=1,"",IF(MOD(MOD(F35,100),10)&lt;&gt;0,IF(OR(F35&gt;20,AND($C35&gt;10^9,TRUNC(($C35-(10^6*INT($C35/(10^6)))))=0)),_e_,IF($C35&gt;10^9,_sp_,"")),"")))&amp;IF(F35=0,"",IF(F35=1,"",IF(MOD(MOD(F35,100),10)=0,"",IF(MOD(F35,100)&lt;20,INDEX(Sml,1,MOD(F35,100)),INDEX(Sml,1,MOD(MOD(F35,100),10)))))) &amp; IF(F35&lt;=1,"",INDEX(Plu,1,3))</f>
        <v/>
      </c>
      <c r="L35" t="str">
        <f>IF($C35&lt;10^6,"",IF(OR(G35=1,AND(G35&gt;=100,MOD(G35,100)=0)),IF(TRUNC(($C35-(10^3*INT($C35/(10^3)))))=0,_e_,_sp_),IF(G35&lt;100,"",_sp_)))&amp;IF(G35=1,INDEX(Sng,1,2),IF(G35&lt;100,"",IF(G35=100,OCem,INDEX(Cem,1,TRUNC(G35/100)))))&amp;IF(MOD(G35,100)=0,"",IF(G35=1,"",IF(OR(MOD(G35,100)&gt;=20,MOD(G35,100)=10),IF(OR(G35&gt;100,AND($C35&gt;10^6,TRUNC(($C35-(10^3*INT($C35/(10^3)))))=0)),_e_,IF($C35&gt;10^6,_sp_,"")),"")))&amp;IF(MOD(G35,100)=0,"",IF(G35=1,"",IF(OR(MOD(G35,100)&gt;=20,MOD(G35,100)=10),INDEX(Dez,1,TRUNC(MOD(G35,100)/10)),"")))&amp;IF(MOD(G35,100)=0,"",IF(G35=1,"",IF(MOD(MOD(G35,100),10)&lt;&gt;0,IF(OR(G35&gt;20,AND($C35&gt;10^6,TRUNC(($C35-(10^3*INT($C35/(10^3)))))=0)),_e_,IF($C35&gt;10^6,_sp_,"")),"")))&amp;IF(G35=0,"",IF(G35=1,"",IF(MOD(MOD(G35,100),10)=0,"",IF(MOD(G35,100)&lt;20,INDEX(Sml,1,MOD(G35,100)),INDEX(Sml,1,MOD(MOD(G35,100),10)))))) &amp; IF(G35&lt;=1,"",INDEX(Plu,1,2))</f>
        <v>dezenove mil</v>
      </c>
      <c r="M35" t="str">
        <f>IF($C35&lt;10^3,"",IF(OR(H35=1,AND(H35&gt;=100,MOD(H35,100)=0)),IF(TRUNC(($C35-(10^0*INT($C35/(10^0)))))=0,_e_,_sp_),IF(H35&lt;100,"",_sp_)))&amp;IF(H35=1,INDEX(Sng,1,1),IF(H35&lt;100,"",IF(H35=100,OCem,INDEX(Cem,1,TRUNC(H35/100)))))&amp;IF(MOD(H35,100)=0,"",IF(H35=1,"",IF(OR(MOD(H35,100)&gt;=20,MOD(H35,100)=10),IF(OR(H35&gt;100,AND($C35&gt;10^3,TRUNC(($C35-(10^0*INT($C35/(10^0)))))=0)),_e_,IF($C35&gt;10^3,_sp_,"")),"")))&amp;IF(MOD(H35,100)=0,"",IF(H35=1,"",IF(OR(MOD(H35,100)&gt;=20,MOD(H35,100)=10),INDEX(Dez,1,TRUNC(MOD(H35,100)/10)),"")))&amp;IF(MOD(H35,100)=0,"",IF(H35=1,"",IF(MOD(MOD(H35,100),10)&lt;&gt;0,IF(OR(H35&gt;20,AND($C35&gt;10^3,TRUNC(($C35-(10^0*INT($C35/(10^0)))))=0)),_e_,IF($C35&gt;10^3,_sp_,"")),"")))&amp;IF(H35=0,"",IF(H35=1,"",IF(MOD(MOD(H35,100),10)=0,"",IF(MOD(H35,100)&lt;20,INDEX(Sml,1,MOD(H35,100)),INDEX(Sml,1,MOD(MOD(H35,100),10)))))) &amp; IF(H35&lt;=1,"",INDEX(Plu,1,1))</f>
        <v xml:space="preserve"> seiscentos e vinte</v>
      </c>
      <c r="N35" t="str">
        <f>IF($C35&lt;1,"",IF(TRUNC($C35)=1," real",IF(AND($C35&gt;=10^6,TRUNC($C35-10^6*INT($C35/10^6))=0)," de","") &amp; " reais"))</f>
        <v xml:space="preserve"> reais</v>
      </c>
      <c r="O35" t="str">
        <f>IF((ROUND($C35-TRUNC($C35),2)*100)=0,"",IF($C35&gt;=1,_e_,"") &amp; IF((ROUND($C35-TRUNC($C35),2)*100)=1,"um centavo",IF((ROUND($C35-TRUNC($C35),2)*100)&gt;=20,INDEX(Dez,1,TRUNC((ROUND($C35-TRUNC($C35),2)*100)/10)) &amp; IF(MOD((ROUND($C35-TRUNC($C35),2)*100),10)&lt;&gt;0,_e_ &amp; INDEX(Sml,1,MOD((ROUND($C35-TRUNC($C35),2)*100),10)),""),INDEX(Sml,1,(ROUND($C35-TRUNC($C35),2)*100))) &amp; " centavos"))</f>
        <v/>
      </c>
      <c r="P35" t="str">
        <f>I35&amp;J35&amp;K35&amp;L35&amp;M35&amp;N35&amp;O35</f>
        <v>dezenove mil seiscentos e vinte reais</v>
      </c>
    </row>
    <row r="38" spans="3:16" ht="13.5" thickBot="1"/>
    <row r="39" spans="3:16" ht="13.5" thickBot="1">
      <c r="D39" s="894" t="s">
        <v>297</v>
      </c>
      <c r="E39" s="895"/>
      <c r="F39" s="895"/>
      <c r="G39" s="895"/>
      <c r="H39" s="896"/>
      <c r="I39" s="894" t="s">
        <v>298</v>
      </c>
      <c r="J39" s="895"/>
      <c r="K39" s="895"/>
      <c r="L39" s="895"/>
      <c r="M39" s="896"/>
      <c r="N39" s="897" t="s">
        <v>299</v>
      </c>
      <c r="O39" s="897" t="s">
        <v>300</v>
      </c>
      <c r="P39" s="897" t="s">
        <v>301</v>
      </c>
    </row>
    <row r="40" spans="3:16" ht="26.25" thickBot="1">
      <c r="C40" s="553" t="s">
        <v>302</v>
      </c>
      <c r="D40" s="554" t="s">
        <v>303</v>
      </c>
      <c r="E40" s="555" t="s">
        <v>304</v>
      </c>
      <c r="F40" s="555" t="s">
        <v>305</v>
      </c>
      <c r="G40" s="555" t="s">
        <v>306</v>
      </c>
      <c r="H40" s="556" t="s">
        <v>307</v>
      </c>
      <c r="I40" s="554" t="s">
        <v>303</v>
      </c>
      <c r="J40" s="555" t="s">
        <v>304</v>
      </c>
      <c r="K40" s="555" t="s">
        <v>305</v>
      </c>
      <c r="L40" s="555" t="s">
        <v>306</v>
      </c>
      <c r="M40" s="556" t="s">
        <v>307</v>
      </c>
      <c r="N40" s="898"/>
      <c r="O40" s="898"/>
      <c r="P40" s="898"/>
    </row>
    <row r="41" spans="3:16">
      <c r="C41" s="557">
        <f>'[2]PROPOSTA RESUMO'!L42</f>
        <v>58860</v>
      </c>
      <c r="D41">
        <f t="array" ref="D41:H41">TRUNC(($C41-((10^{15,12,9,6,3})*INT($C41/(10^{15,12,9,6,3}))))/10^{12,9,6,3,0})</f>
        <v>0</v>
      </c>
      <c r="E41">
        <v>0</v>
      </c>
      <c r="F41">
        <v>0</v>
      </c>
      <c r="G41">
        <v>58</v>
      </c>
      <c r="H41">
        <v>860</v>
      </c>
      <c r="I41" t="str">
        <f>IF($C41&lt;10^15,"",IF(OR(D41=1,AND(D41&gt;=100,MOD(D41,100)=0)),IF(TRUNC(($C41-(10^12*INT($C41/(10^12)))))=0,_e_,_sp_),IF(D41&lt;100,"",_sp_)))&amp;IF(D41=1,INDEX(Sng,1,5),IF(D41&lt;100,"",IF(D41=100,OCem,INDEX(Cem,1,TRUNC(D41/100)))))&amp;IF(MOD(D41,100)=0,"",IF(D41=1,"",IF(OR(MOD(D41,100)&gt;=20,MOD(D41,100)=10),IF(OR(D41&gt;100,AND($C41&gt;10^15,TRUNC(($C41-(10^12*INT($C41/(10^12)))))=0)),_e_,IF($C41&gt;10^15,_sp_,"")),"")))&amp;IF(MOD(D41,100)=0,"",IF(D41=1,"",IF(OR(MOD(D41,100)&gt;=20,MOD(D41,100)=10),INDEX(Dez,1,TRUNC(MOD(D41,100)/10)),"")))&amp;IF(MOD(D41,100)=0,"",IF(D41=1,"",IF(MOD(MOD(D41,100),10)&lt;&gt;0,IF(OR(D41&gt;20,AND($C41&gt;10^15,TRUNC(($C41-(10^12*INT($C41/(10^12)))))=0)),_e_,IF($C41&gt;10^15,_sp_,"")),"")))&amp;IF(D41=0,"",IF(D41=1,"",IF(MOD(MOD(D41,100),10)=0,"",IF(MOD(D41,100)&lt;20,INDEX(Sml,1,MOD(D41,100)),INDEX(Sml,1,MOD(MOD(D41,100),10)))))) &amp; IF(D41&lt;=1,"",INDEX(Plu,1,5))</f>
        <v/>
      </c>
      <c r="J41" t="str">
        <f>IF($C41&lt;10^12,"",IF(OR(E41=1,AND(E41&gt;=100,MOD(E41,100)=0)),IF(TRUNC(($C41-(10^9*INT($C41/(10^9)))))=0,_e_,_sp_),IF(E41&lt;100,"",_sp_)))&amp;IF(E41=1,INDEX(Sng,1,4),IF(E41&lt;100,"",IF(E41=100,OCem,INDEX(Cem,1,TRUNC(E41/100)))))&amp;IF(MOD(E41,100)=0,"",IF(E41=1,"",IF(OR(MOD(E41,100)&gt;=20,MOD(E41,100)=10),IF(OR(E41&gt;100,AND($C41&gt;10^12,TRUNC(($C41-(10^9*INT($C41/(10^9)))))=0)),_e_,IF($C41&gt;10^12,_sp_,"")),"")))&amp;IF(MOD(E41,100)=0,"",IF(E41=1,"",IF(OR(MOD(E41,100)&gt;=20,MOD(E41,100)=10),INDEX(Dez,1,TRUNC(MOD(E41,100)/10)),"")))&amp;IF(MOD(E41,100)=0,"",IF(E41=1,"",IF(MOD(MOD(E41,100),10)&lt;&gt;0,IF(OR(E41&gt;20,AND($C41&gt;10^12,TRUNC(($C41-(10^9*INT($C41/(10^9)))))=0)),_e_,IF($C41&gt;10^12,_sp_,"")),"")))&amp;IF(E41=0,"",IF(E41=1,"",IF(MOD(MOD(E41,100),10)=0,"",IF(MOD(E41,100)&lt;20,INDEX(Sml,1,MOD(E41,100)),INDEX(Sml,1,MOD(MOD(E41,100),10)))))) &amp; IF(E41&lt;=1,"",INDEX(Plu,1,4))</f>
        <v/>
      </c>
      <c r="K41" t="str">
        <f>IF($C41&lt;10^9,"",IF(OR(F41=1,AND(F41&gt;=100,MOD(F41,100)=0)),IF(TRUNC(($C41-(10^6*INT($C41/(10^6)))))=0,_e_,_sp_),IF(F41&lt;100,"",_sp_)))&amp;IF(F41=1,INDEX(Sng,1,3),IF(F41&lt;100,"",IF(F41=100,OCem,INDEX(Cem,1,TRUNC(F41/100)))))&amp;IF(MOD(F41,100)=0,"",IF(F41=1,"",IF(OR(MOD(F41,100)&gt;=20,MOD(F41,100)=10),IF(OR(F41&gt;100,AND($C41&gt;10^9,TRUNC(($C41-(10^6*INT($C41/(10^6)))))=0)),_e_,IF($C41&gt;10^9,_sp_,"")),"")))&amp;IF(MOD(F41,100)=0,"",IF(F41=1,"",IF(OR(MOD(F41,100)&gt;=20,MOD(F41,100)=10),INDEX(Dez,1,TRUNC(MOD(F41,100)/10)),"")))&amp;IF(MOD(F41,100)=0,"",IF(F41=1,"",IF(MOD(MOD(F41,100),10)&lt;&gt;0,IF(OR(F41&gt;20,AND($C41&gt;10^9,TRUNC(($C41-(10^6*INT($C41/(10^6)))))=0)),_e_,IF($C41&gt;10^9,_sp_,"")),"")))&amp;IF(F41=0,"",IF(F41=1,"",IF(MOD(MOD(F41,100),10)=0,"",IF(MOD(F41,100)&lt;20,INDEX(Sml,1,MOD(F41,100)),INDEX(Sml,1,MOD(MOD(F41,100),10)))))) &amp; IF(F41&lt;=1,"",INDEX(Plu,1,3))</f>
        <v/>
      </c>
      <c r="L41" t="str">
        <f>IF($C41&lt;10^6,"",IF(OR(G41=1,AND(G41&gt;=100,MOD(G41,100)=0)),IF(TRUNC(($C41-(10^3*INT($C41/(10^3)))))=0,_e_,_sp_),IF(G41&lt;100,"",_sp_)))&amp;IF(G41=1,INDEX(Sng,1,2),IF(G41&lt;100,"",IF(G41=100,OCem,INDEX(Cem,1,TRUNC(G41/100)))))&amp;IF(MOD(G41,100)=0,"",IF(G41=1,"",IF(OR(MOD(G41,100)&gt;=20,MOD(G41,100)=10),IF(OR(G41&gt;100,AND($C41&gt;10^6,TRUNC(($C41-(10^3*INT($C41/(10^3)))))=0)),_e_,IF($C41&gt;10^6,_sp_,"")),"")))&amp;IF(MOD(G41,100)=0,"",IF(G41=1,"",IF(OR(MOD(G41,100)&gt;=20,MOD(G41,100)=10),INDEX(Dez,1,TRUNC(MOD(G41,100)/10)),"")))&amp;IF(MOD(G41,100)=0,"",IF(G41=1,"",IF(MOD(MOD(G41,100),10)&lt;&gt;0,IF(OR(G41&gt;20,AND($C41&gt;10^6,TRUNC(($C41-(10^3*INT($C41/(10^3)))))=0)),_e_,IF($C41&gt;10^6,_sp_,"")),"")))&amp;IF(G41=0,"",IF(G41=1,"",IF(MOD(MOD(G41,100),10)=0,"",IF(MOD(G41,100)&lt;20,INDEX(Sml,1,MOD(G41,100)),INDEX(Sml,1,MOD(MOD(G41,100),10)))))) &amp; IF(G41&lt;=1,"",INDEX(Plu,1,2))</f>
        <v>cinquenta e oito mil</v>
      </c>
      <c r="M41" t="str">
        <f>IF($C41&lt;10^3,"",IF(OR(H41=1,AND(H41&gt;=100,MOD(H41,100)=0)),IF(TRUNC(($C41-(10^0*INT($C41/(10^0)))))=0,_e_,_sp_),IF(H41&lt;100,"",_sp_)))&amp;IF(H41=1,INDEX(Sng,1,1),IF(H41&lt;100,"",IF(H41=100,OCem,INDEX(Cem,1,TRUNC(H41/100)))))&amp;IF(MOD(H41,100)=0,"",IF(H41=1,"",IF(OR(MOD(H41,100)&gt;=20,MOD(H41,100)=10),IF(OR(H41&gt;100,AND($C41&gt;10^3,TRUNC(($C41-(10^0*INT($C41/(10^0)))))=0)),_e_,IF($C41&gt;10^3,_sp_,"")),"")))&amp;IF(MOD(H41,100)=0,"",IF(H41=1,"",IF(OR(MOD(H41,100)&gt;=20,MOD(H41,100)=10),INDEX(Dez,1,TRUNC(MOD(H41,100)/10)),"")))&amp;IF(MOD(H41,100)=0,"",IF(H41=1,"",IF(MOD(MOD(H41,100),10)&lt;&gt;0,IF(OR(H41&gt;20,AND($C41&gt;10^3,TRUNC(($C41-(10^0*INT($C41/(10^0)))))=0)),_e_,IF($C41&gt;10^3,_sp_,"")),"")))&amp;IF(H41=0,"",IF(H41=1,"",IF(MOD(MOD(H41,100),10)=0,"",IF(MOD(H41,100)&lt;20,INDEX(Sml,1,MOD(H41,100)),INDEX(Sml,1,MOD(MOD(H41,100),10)))))) &amp; IF(H41&lt;=1,"",INDEX(Plu,1,1))</f>
        <v xml:space="preserve"> oitocentos e sessenta</v>
      </c>
      <c r="N41" t="str">
        <f>IF($C41&lt;1,"",IF(TRUNC($C41)=1," real",IF(AND($C41&gt;=10^6,TRUNC($C41-10^6*INT($C41/10^6))=0)," de","") &amp; " reais"))</f>
        <v xml:space="preserve"> reais</v>
      </c>
      <c r="O41" t="str">
        <f>IF((ROUND($C41-TRUNC($C41),2)*100)=0,"",IF($C41&gt;=1,_e_,"") &amp; IF((ROUND($C41-TRUNC($C41),2)*100)=1,"um centavo",IF((ROUND($C41-TRUNC($C41),2)*100)&gt;=20,INDEX(Dez,1,TRUNC((ROUND($C41-TRUNC($C41),2)*100)/10)) &amp; IF(MOD((ROUND($C41-TRUNC($C41),2)*100),10)&lt;&gt;0,_e_ &amp; INDEX(Sml,1,MOD((ROUND($C41-TRUNC($C41),2)*100),10)),""),INDEX(Sml,1,(ROUND($C41-TRUNC($C41),2)*100))) &amp; " centavos"))</f>
        <v/>
      </c>
      <c r="P41" t="str">
        <f>I41&amp;J41&amp;K41&amp;L41&amp;M41&amp;N41&amp;O41</f>
        <v>cinquenta e oito mil oitocentos e sessenta reais</v>
      </c>
    </row>
    <row r="44" spans="3:16" ht="13.5" thickBot="1"/>
    <row r="45" spans="3:16" ht="13.5" thickBot="1">
      <c r="D45" s="558" t="s">
        <v>297</v>
      </c>
      <c r="E45" s="559"/>
      <c r="F45" s="559"/>
      <c r="G45" s="559"/>
      <c r="H45" s="560"/>
      <c r="I45" s="558" t="s">
        <v>298</v>
      </c>
      <c r="J45" s="559"/>
      <c r="K45" s="559"/>
      <c r="L45" s="559"/>
      <c r="M45" s="560"/>
      <c r="N45" s="561" t="s">
        <v>299</v>
      </c>
      <c r="O45" s="561" t="s">
        <v>300</v>
      </c>
      <c r="P45" s="561" t="s">
        <v>301</v>
      </c>
    </row>
    <row r="46" spans="3:16" ht="26.25" thickBot="1">
      <c r="C46" s="553" t="s">
        <v>302</v>
      </c>
      <c r="D46" s="554" t="s">
        <v>303</v>
      </c>
      <c r="E46" s="555" t="s">
        <v>304</v>
      </c>
      <c r="F46" s="555" t="s">
        <v>305</v>
      </c>
      <c r="G46" s="555" t="s">
        <v>306</v>
      </c>
      <c r="H46" s="556" t="s">
        <v>307</v>
      </c>
      <c r="I46" s="554" t="s">
        <v>303</v>
      </c>
      <c r="J46" s="555" t="s">
        <v>304</v>
      </c>
      <c r="K46" s="555" t="s">
        <v>305</v>
      </c>
      <c r="L46" s="555" t="s">
        <v>306</v>
      </c>
      <c r="M46" s="556" t="s">
        <v>307</v>
      </c>
      <c r="N46" s="562"/>
      <c r="O46" s="562"/>
      <c r="P46" s="562"/>
    </row>
    <row r="47" spans="3:16">
      <c r="C47" s="557">
        <f>'[2]PROPOSTA RESUMO'!L43</f>
        <v>706320</v>
      </c>
      <c r="D47">
        <f t="array" ref="D47:H47">TRUNC(($C47-((10^{15,12,9,6,3})*INT($C47/(10^{15,12,9,6,3}))))/10^{12,9,6,3,0})</f>
        <v>0</v>
      </c>
      <c r="E47">
        <v>0</v>
      </c>
      <c r="F47">
        <v>0</v>
      </c>
      <c r="G47">
        <v>706</v>
      </c>
      <c r="H47">
        <v>320</v>
      </c>
      <c r="I47" t="str">
        <f>IF($C47&lt;10^15,"",IF(OR(D47=1,AND(D47&gt;=100,MOD(D47,100)=0)),IF(TRUNC(($C47-(10^12*INT($C47/(10^12)))))=0,_e_,_sp_),IF(D47&lt;100,"",_sp_)))&amp;IF(D47=1,INDEX(Sng,1,5),IF(D47&lt;100,"",IF(D47=100,OCem,INDEX(Cem,1,TRUNC(D47/100)))))&amp;IF(MOD(D47,100)=0,"",IF(D47=1,"",IF(OR(MOD(D47,100)&gt;=20,MOD(D47,100)=10),IF(OR(D47&gt;100,AND($C47&gt;10^15,TRUNC(($C47-(10^12*INT($C47/(10^12)))))=0)),_e_,IF($C47&gt;10^15,_sp_,"")),"")))&amp;IF(MOD(D47,100)=0,"",IF(D47=1,"",IF(OR(MOD(D47,100)&gt;=20,MOD(D47,100)=10),INDEX(Dez,1,TRUNC(MOD(D47,100)/10)),"")))&amp;IF(MOD(D47,100)=0,"",IF(D47=1,"",IF(MOD(MOD(D47,100),10)&lt;&gt;0,IF(OR(D47&gt;20,AND($C47&gt;10^15,TRUNC(($C47-(10^12*INT($C47/(10^12)))))=0)),_e_,IF($C47&gt;10^15,_sp_,"")),"")))&amp;IF(D47=0,"",IF(D47=1,"",IF(MOD(MOD(D47,100),10)=0,"",IF(MOD(D47,100)&lt;20,INDEX(Sml,1,MOD(D47,100)),INDEX(Sml,1,MOD(MOD(D47,100),10)))))) &amp; IF(D47&lt;=1,"",INDEX(Plu,1,5))</f>
        <v/>
      </c>
      <c r="J47" t="str">
        <f>IF($C47&lt;10^12,"",IF(OR(E47=1,AND(E47&gt;=100,MOD(E47,100)=0)),IF(TRUNC(($C47-(10^9*INT($C47/(10^9)))))=0,_e_,_sp_),IF(E47&lt;100,"",_sp_)))&amp;IF(E47=1,INDEX(Sng,1,4),IF(E47&lt;100,"",IF(E47=100,OCem,INDEX(Cem,1,TRUNC(E47/100)))))&amp;IF(MOD(E47,100)=0,"",IF(E47=1,"",IF(OR(MOD(E47,100)&gt;=20,MOD(E47,100)=10),IF(OR(E47&gt;100,AND($C47&gt;10^12,TRUNC(($C47-(10^9*INT($C47/(10^9)))))=0)),_e_,IF($C47&gt;10^12,_sp_,"")),"")))&amp;IF(MOD(E47,100)=0,"",IF(E47=1,"",IF(OR(MOD(E47,100)&gt;=20,MOD(E47,100)=10),INDEX(Dez,1,TRUNC(MOD(E47,100)/10)),"")))&amp;IF(MOD(E47,100)=0,"",IF(E47=1,"",IF(MOD(MOD(E47,100),10)&lt;&gt;0,IF(OR(E47&gt;20,AND($C47&gt;10^12,TRUNC(($C47-(10^9*INT($C47/(10^9)))))=0)),_e_,IF($C47&gt;10^12,_sp_,"")),"")))&amp;IF(E47=0,"",IF(E47=1,"",IF(MOD(MOD(E47,100),10)=0,"",IF(MOD(E47,100)&lt;20,INDEX(Sml,1,MOD(E47,100)),INDEX(Sml,1,MOD(MOD(E47,100),10)))))) &amp; IF(E47&lt;=1,"",INDEX(Plu,1,4))</f>
        <v/>
      </c>
      <c r="K47" t="str">
        <f>IF($C47&lt;10^9,"",IF(OR(F47=1,AND(F47&gt;=100,MOD(F47,100)=0)),IF(TRUNC(($C47-(10^6*INT($C47/(10^6)))))=0,_e_,_sp_),IF(F47&lt;100,"",_sp_)))&amp;IF(F47=1,INDEX(Sng,1,3),IF(F47&lt;100,"",IF(F47=100,OCem,INDEX(Cem,1,TRUNC(F47/100)))))&amp;IF(MOD(F47,100)=0,"",IF(F47=1,"",IF(OR(MOD(F47,100)&gt;=20,MOD(F47,100)=10),IF(OR(F47&gt;100,AND($C47&gt;10^9,TRUNC(($C47-(10^6*INT($C47/(10^6)))))=0)),_e_,IF($C47&gt;10^9,_sp_,"")),"")))&amp;IF(MOD(F47,100)=0,"",IF(F47=1,"",IF(OR(MOD(F47,100)&gt;=20,MOD(F47,100)=10),INDEX(Dez,1,TRUNC(MOD(F47,100)/10)),"")))&amp;IF(MOD(F47,100)=0,"",IF(F47=1,"",IF(MOD(MOD(F47,100),10)&lt;&gt;0,IF(OR(F47&gt;20,AND($C47&gt;10^9,TRUNC(($C47-(10^6*INT($C47/(10^6)))))=0)),_e_,IF($C47&gt;10^9,_sp_,"")),"")))&amp;IF(F47=0,"",IF(F47=1,"",IF(MOD(MOD(F47,100),10)=0,"",IF(MOD(F47,100)&lt;20,INDEX(Sml,1,MOD(F47,100)),INDEX(Sml,1,MOD(MOD(F47,100),10)))))) &amp; IF(F47&lt;=1,"",INDEX(Plu,1,3))</f>
        <v/>
      </c>
      <c r="L47" t="str">
        <f>IF($C47&lt;10^6,"",IF(OR(G47=1,AND(G47&gt;=100,MOD(G47,100)=0)),IF(TRUNC(($C47-(10^3*INT($C47/(10^3)))))=0,_e_,_sp_),IF(G47&lt;100,"",_sp_)))&amp;IF(G47=1,INDEX(Sng,1,2),IF(G47&lt;100,"",IF(G47=100,OCem,INDEX(Cem,1,TRUNC(G47/100)))))&amp;IF(MOD(G47,100)=0,"",IF(G47=1,"",IF(OR(MOD(G47,100)&gt;=20,MOD(G47,100)=10),IF(OR(G47&gt;100,AND($C47&gt;10^6,TRUNC(($C47-(10^3*INT($C47/(10^3)))))=0)),_e_,IF($C47&gt;10^6,_sp_,"")),"")))&amp;IF(MOD(G47,100)=0,"",IF(G47=1,"",IF(OR(MOD(G47,100)&gt;=20,MOD(G47,100)=10),INDEX(Dez,1,TRUNC(MOD(G47,100)/10)),"")))&amp;IF(MOD(G47,100)=0,"",IF(G47=1,"",IF(MOD(MOD(G47,100),10)&lt;&gt;0,IF(OR(G47&gt;20,AND($C47&gt;10^6,TRUNC(($C47-(10^3*INT($C47/(10^3)))))=0)),_e_,IF($C47&gt;10^6,_sp_,"")),"")))&amp;IF(G47=0,"",IF(G47=1,"",IF(MOD(MOD(G47,100),10)=0,"",IF(MOD(G47,100)&lt;20,INDEX(Sml,1,MOD(G47,100)),INDEX(Sml,1,MOD(MOD(G47,100),10)))))) &amp; IF(G47&lt;=1,"",INDEX(Plu,1,2))</f>
        <v>setecentos e seis mil</v>
      </c>
      <c r="M47" t="str">
        <f>IF($C47&lt;10^3,"",IF(OR(H47=1,AND(H47&gt;=100,MOD(H47,100)=0)),IF(TRUNC(($C47-(10^0*INT($C47/(10^0)))))=0,_e_,_sp_),IF(H47&lt;100,"",_sp_)))&amp;IF(H47=1,INDEX(Sng,1,1),IF(H47&lt;100,"",IF(H47=100,OCem,INDEX(Cem,1,TRUNC(H47/100)))))&amp;IF(MOD(H47,100)=0,"",IF(H47=1,"",IF(OR(MOD(H47,100)&gt;=20,MOD(H47,100)=10),IF(OR(H47&gt;100,AND($C47&gt;10^3,TRUNC(($C47-(10^0*INT($C47/(10^0)))))=0)),_e_,IF($C47&gt;10^3,_sp_,"")),"")))&amp;IF(MOD(H47,100)=0,"",IF(H47=1,"",IF(OR(MOD(H47,100)&gt;=20,MOD(H47,100)=10),INDEX(Dez,1,TRUNC(MOD(H47,100)/10)),"")))&amp;IF(MOD(H47,100)=0,"",IF(H47=1,"",IF(MOD(MOD(H47,100),10)&lt;&gt;0,IF(OR(H47&gt;20,AND($C47&gt;10^3,TRUNC(($C47-(10^0*INT($C47/(10^0)))))=0)),_e_,IF($C47&gt;10^3,_sp_,"")),"")))&amp;IF(H47=0,"",IF(H47=1,"",IF(MOD(MOD(H47,100),10)=0,"",IF(MOD(H47,100)&lt;20,INDEX(Sml,1,MOD(H47,100)),INDEX(Sml,1,MOD(MOD(H47,100),10)))))) &amp; IF(H47&lt;=1,"",INDEX(Plu,1,1))</f>
        <v xml:space="preserve"> trezentos e vinte</v>
      </c>
      <c r="N47" t="str">
        <f>IF($C47&lt;1,"",IF(TRUNC($C47)=1," real",IF(AND($C47&gt;=10^6,TRUNC($C47-10^6*INT($C47/10^6))=0)," de","") &amp; " reais"))</f>
        <v xml:space="preserve"> reais</v>
      </c>
      <c r="O47" t="str">
        <f>IF((ROUND($C47-TRUNC($C47),2)*100)=0,"",IF($C47&gt;=1,_e_,"") &amp; IF((ROUND($C47-TRUNC($C47),2)*100)=1,"um centavo",IF((ROUND($C47-TRUNC($C47),2)*100)&gt;=20,INDEX(Dez,1,TRUNC((ROUND($C47-TRUNC($C47),2)*100)/10)) &amp; IF(MOD((ROUND($C47-TRUNC($C47),2)*100),10)&lt;&gt;0,_e_ &amp; INDEX(Sml,1,MOD((ROUND($C47-TRUNC($C47),2)*100),10)),""),INDEX(Sml,1,(ROUND($C47-TRUNC($C47),2)*100))) &amp; " centavos"))</f>
        <v/>
      </c>
      <c r="P47" t="str">
        <f>I47&amp;J47&amp;K47&amp;L47&amp;M47&amp;N47&amp;O47</f>
        <v>setecentos e seis mil trezentos e vinte reais</v>
      </c>
    </row>
    <row r="50" spans="3:16" ht="13.5" thickBot="1"/>
    <row r="51" spans="3:16" ht="13.5" thickBot="1">
      <c r="D51" s="894" t="s">
        <v>297</v>
      </c>
      <c r="E51" s="895"/>
      <c r="F51" s="895"/>
      <c r="G51" s="895"/>
      <c r="H51" s="896"/>
      <c r="I51" s="894" t="s">
        <v>298</v>
      </c>
      <c r="J51" s="895"/>
      <c r="K51" s="895"/>
      <c r="L51" s="895"/>
      <c r="M51" s="896"/>
      <c r="N51" s="897" t="s">
        <v>299</v>
      </c>
      <c r="O51" s="897" t="s">
        <v>300</v>
      </c>
      <c r="P51" s="897" t="s">
        <v>301</v>
      </c>
    </row>
    <row r="52" spans="3:16" ht="26.25" thickBot="1">
      <c r="C52" s="553" t="s">
        <v>302</v>
      </c>
      <c r="D52" s="554" t="s">
        <v>303</v>
      </c>
      <c r="E52" s="555" t="s">
        <v>304</v>
      </c>
      <c r="F52" s="555" t="s">
        <v>305</v>
      </c>
      <c r="G52" s="555" t="s">
        <v>306</v>
      </c>
      <c r="H52" s="556" t="s">
        <v>307</v>
      </c>
      <c r="I52" s="554" t="s">
        <v>303</v>
      </c>
      <c r="J52" s="555" t="s">
        <v>304</v>
      </c>
      <c r="K52" s="555" t="s">
        <v>305</v>
      </c>
      <c r="L52" s="555" t="s">
        <v>306</v>
      </c>
      <c r="M52" s="556" t="s">
        <v>307</v>
      </c>
      <c r="N52" s="898"/>
      <c r="O52" s="898"/>
      <c r="P52" s="898"/>
    </row>
    <row r="53" spans="3:16">
      <c r="C53" s="557">
        <f>'[2]PROPOSTA RESUMO'!L68</f>
        <v>28640.000000000004</v>
      </c>
      <c r="D53">
        <f t="array" ref="D53:H53">TRUNC(($C53-((10^{15,12,9,6,3})*INT($C53/(10^{15,12,9,6,3}))))/10^{12,9,6,3,0})</f>
        <v>0</v>
      </c>
      <c r="E53">
        <v>0</v>
      </c>
      <c r="F53">
        <v>0</v>
      </c>
      <c r="G53">
        <v>28</v>
      </c>
      <c r="H53">
        <v>640</v>
      </c>
      <c r="I53" t="str">
        <f>IF($C53&lt;10^15,"",IF(OR(D53=1,AND(D53&gt;=100,MOD(D53,100)=0)),IF(TRUNC(($C53-(10^12*INT($C53/(10^12)))))=0,_e_,_sp_),IF(D53&lt;100,"",_sp_)))&amp;IF(D53=1,INDEX(Sng,1,5),IF(D53&lt;100,"",IF(D53=100,OCem,INDEX(Cem,1,TRUNC(D53/100)))))&amp;IF(MOD(D53,100)=0,"",IF(D53=1,"",IF(OR(MOD(D53,100)&gt;=20,MOD(D53,100)=10),IF(OR(D53&gt;100,AND($C53&gt;10^15,TRUNC(($C53-(10^12*INT($C53/(10^12)))))=0)),_e_,IF($C53&gt;10^15,_sp_,"")),"")))&amp;IF(MOD(D53,100)=0,"",IF(D53=1,"",IF(OR(MOD(D53,100)&gt;=20,MOD(D53,100)=10),INDEX(Dez,1,TRUNC(MOD(D53,100)/10)),"")))&amp;IF(MOD(D53,100)=0,"",IF(D53=1,"",IF(MOD(MOD(D53,100),10)&lt;&gt;0,IF(OR(D53&gt;20,AND($C53&gt;10^15,TRUNC(($C53-(10^12*INT($C53/(10^12)))))=0)),_e_,IF($C53&gt;10^15,_sp_,"")),"")))&amp;IF(D53=0,"",IF(D53=1,"",IF(MOD(MOD(D53,100),10)=0,"",IF(MOD(D53,100)&lt;20,INDEX(Sml,1,MOD(D53,100)),INDEX(Sml,1,MOD(MOD(D53,100),10)))))) &amp; IF(D53&lt;=1,"",INDEX(Plu,1,5))</f>
        <v/>
      </c>
      <c r="J53" t="str">
        <f>IF($C53&lt;10^12,"",IF(OR(E53=1,AND(E53&gt;=100,MOD(E53,100)=0)),IF(TRUNC(($C53-(10^9*INT($C53/(10^9)))))=0,_e_,_sp_),IF(E53&lt;100,"",_sp_)))&amp;IF(E53=1,INDEX(Sng,1,4),IF(E53&lt;100,"",IF(E53=100,OCem,INDEX(Cem,1,TRUNC(E53/100)))))&amp;IF(MOD(E53,100)=0,"",IF(E53=1,"",IF(OR(MOD(E53,100)&gt;=20,MOD(E53,100)=10),IF(OR(E53&gt;100,AND($C53&gt;10^12,TRUNC(($C53-(10^9*INT($C53/(10^9)))))=0)),_e_,IF($C53&gt;10^12,_sp_,"")),"")))&amp;IF(MOD(E53,100)=0,"",IF(E53=1,"",IF(OR(MOD(E53,100)&gt;=20,MOD(E53,100)=10),INDEX(Dez,1,TRUNC(MOD(E53,100)/10)),"")))&amp;IF(MOD(E53,100)=0,"",IF(E53=1,"",IF(MOD(MOD(E53,100),10)&lt;&gt;0,IF(OR(E53&gt;20,AND($C53&gt;10^12,TRUNC(($C53-(10^9*INT($C53/(10^9)))))=0)),_e_,IF($C53&gt;10^12,_sp_,"")),"")))&amp;IF(E53=0,"",IF(E53=1,"",IF(MOD(MOD(E53,100),10)=0,"",IF(MOD(E53,100)&lt;20,INDEX(Sml,1,MOD(E53,100)),INDEX(Sml,1,MOD(MOD(E53,100),10)))))) &amp; IF(E53&lt;=1,"",INDEX(Plu,1,4))</f>
        <v/>
      </c>
      <c r="K53" t="str">
        <f>IF($C53&lt;10^9,"",IF(OR(F53=1,AND(F53&gt;=100,MOD(F53,100)=0)),IF(TRUNC(($C53-(10^6*INT($C53/(10^6)))))=0,_e_,_sp_),IF(F53&lt;100,"",_sp_)))&amp;IF(F53=1,INDEX(Sng,1,3),IF(F53&lt;100,"",IF(F53=100,OCem,INDEX(Cem,1,TRUNC(F53/100)))))&amp;IF(MOD(F53,100)=0,"",IF(F53=1,"",IF(OR(MOD(F53,100)&gt;=20,MOD(F53,100)=10),IF(OR(F53&gt;100,AND($C53&gt;10^9,TRUNC(($C53-(10^6*INT($C53/(10^6)))))=0)),_e_,IF($C53&gt;10^9,_sp_,"")),"")))&amp;IF(MOD(F53,100)=0,"",IF(F53=1,"",IF(OR(MOD(F53,100)&gt;=20,MOD(F53,100)=10),INDEX(Dez,1,TRUNC(MOD(F53,100)/10)),"")))&amp;IF(MOD(F53,100)=0,"",IF(F53=1,"",IF(MOD(MOD(F53,100),10)&lt;&gt;0,IF(OR(F53&gt;20,AND($C53&gt;10^9,TRUNC(($C53-(10^6*INT($C53/(10^6)))))=0)),_e_,IF($C53&gt;10^9,_sp_,"")),"")))&amp;IF(F53=0,"",IF(F53=1,"",IF(MOD(MOD(F53,100),10)=0,"",IF(MOD(F53,100)&lt;20,INDEX(Sml,1,MOD(F53,100)),INDEX(Sml,1,MOD(MOD(F53,100),10)))))) &amp; IF(F53&lt;=1,"",INDEX(Plu,1,3))</f>
        <v/>
      </c>
      <c r="L53" t="str">
        <f>IF($C53&lt;10^6,"",IF(OR(G53=1,AND(G53&gt;=100,MOD(G53,100)=0)),IF(TRUNC(($C53-(10^3*INT($C53/(10^3)))))=0,_e_,_sp_),IF(G53&lt;100,"",_sp_)))&amp;IF(G53=1,INDEX(Sng,1,2),IF(G53&lt;100,"",IF(G53=100,OCem,INDEX(Cem,1,TRUNC(G53/100)))))&amp;IF(MOD(G53,100)=0,"",IF(G53=1,"",IF(OR(MOD(G53,100)&gt;=20,MOD(G53,100)=10),IF(OR(G53&gt;100,AND($C53&gt;10^6,TRUNC(($C53-(10^3*INT($C53/(10^3)))))=0)),_e_,IF($C53&gt;10^6,_sp_,"")),"")))&amp;IF(MOD(G53,100)=0,"",IF(G53=1,"",IF(OR(MOD(G53,100)&gt;=20,MOD(G53,100)=10),INDEX(Dez,1,TRUNC(MOD(G53,100)/10)),"")))&amp;IF(MOD(G53,100)=0,"",IF(G53=1,"",IF(MOD(MOD(G53,100),10)&lt;&gt;0,IF(OR(G53&gt;20,AND($C53&gt;10^6,TRUNC(($C53-(10^3*INT($C53/(10^3)))))=0)),_e_,IF($C53&gt;10^6,_sp_,"")),"")))&amp;IF(G53=0,"",IF(G53=1,"",IF(MOD(MOD(G53,100),10)=0,"",IF(MOD(G53,100)&lt;20,INDEX(Sml,1,MOD(G53,100)),INDEX(Sml,1,MOD(MOD(G53,100),10)))))) &amp; IF(G53&lt;=1,"",INDEX(Plu,1,2))</f>
        <v>vinte e oito mil</v>
      </c>
      <c r="M53" t="str">
        <f>IF($C53&lt;10^3,"",IF(OR(H53=1,AND(H53&gt;=100,MOD(H53,100)=0)),IF(TRUNC(($C53-(10^0*INT($C53/(10^0)))))=0,_e_,_sp_),IF(H53&lt;100,"",_sp_)))&amp;IF(H53=1,INDEX(Sng,1,1),IF(H53&lt;100,"",IF(H53=100,OCem,INDEX(Cem,1,TRUNC(H53/100)))))&amp;IF(MOD(H53,100)=0,"",IF(H53=1,"",IF(OR(MOD(H53,100)&gt;=20,MOD(H53,100)=10),IF(OR(H53&gt;100,AND($C53&gt;10^3,TRUNC(($C53-(10^0*INT($C53/(10^0)))))=0)),_e_,IF($C53&gt;10^3,_sp_,"")),"")))&amp;IF(MOD(H53,100)=0,"",IF(H53=1,"",IF(OR(MOD(H53,100)&gt;=20,MOD(H53,100)=10),INDEX(Dez,1,TRUNC(MOD(H53,100)/10)),"")))&amp;IF(MOD(H53,100)=0,"",IF(H53=1,"",IF(MOD(MOD(H53,100),10)&lt;&gt;0,IF(OR(H53&gt;20,AND($C53&gt;10^3,TRUNC(($C53-(10^0*INT($C53/(10^0)))))=0)),_e_,IF($C53&gt;10^3,_sp_,"")),"")))&amp;IF(H53=0,"",IF(H53=1,"",IF(MOD(MOD(H53,100),10)=0,"",IF(MOD(H53,100)&lt;20,INDEX(Sml,1,MOD(H53,100)),INDEX(Sml,1,MOD(MOD(H53,100),10)))))) &amp; IF(H53&lt;=1,"",INDEX(Plu,1,1))</f>
        <v xml:space="preserve"> seiscentos e quarenta</v>
      </c>
      <c r="N53" t="str">
        <f>IF($C53&lt;1,"",IF(TRUNC($C53)=1," real",IF(AND($C53&gt;=10^6,TRUNC($C53-10^6*INT($C53/10^6))=0)," de","") &amp; " reais"))</f>
        <v xml:space="preserve"> reais</v>
      </c>
      <c r="O53" t="str">
        <f>IF((ROUND($C53-TRUNC($C53),2)*100)=0,"",IF($C53&gt;=1,_e_,"") &amp; IF((ROUND($C53-TRUNC($C53),2)*100)=1,"um centavo",IF((ROUND($C53-TRUNC($C53),2)*100)&gt;=20,INDEX(Dez,1,TRUNC((ROUND($C53-TRUNC($C53),2)*100)/10)) &amp; IF(MOD((ROUND($C53-TRUNC($C53),2)*100),10)&lt;&gt;0,_e_ &amp; INDEX(Sml,1,MOD((ROUND($C53-TRUNC($C53),2)*100),10)),""),INDEX(Sml,1,(ROUND($C53-TRUNC($C53),2)*100))) &amp; " centavos"))</f>
        <v/>
      </c>
      <c r="P53" t="str">
        <f>I53&amp;J53&amp;K53&amp;L53&amp;M53&amp;N53&amp;O53</f>
        <v>vinte e oito mil seiscentos e quarenta reais</v>
      </c>
    </row>
    <row r="56" spans="3:16" ht="13.5" thickBot="1"/>
    <row r="57" spans="3:16" ht="13.5" thickBot="1">
      <c r="D57" s="558" t="s">
        <v>297</v>
      </c>
      <c r="E57" s="559"/>
      <c r="F57" s="559"/>
      <c r="G57" s="559"/>
      <c r="H57" s="560"/>
      <c r="I57" s="558" t="s">
        <v>298</v>
      </c>
      <c r="J57" s="559"/>
      <c r="K57" s="559"/>
      <c r="L57" s="559"/>
      <c r="M57" s="560"/>
      <c r="N57" s="561" t="s">
        <v>299</v>
      </c>
      <c r="O57" s="561" t="s">
        <v>300</v>
      </c>
      <c r="P57" s="561" t="s">
        <v>301</v>
      </c>
    </row>
    <row r="58" spans="3:16" ht="26.25" thickBot="1">
      <c r="C58" s="553" t="s">
        <v>302</v>
      </c>
      <c r="D58" s="554" t="s">
        <v>303</v>
      </c>
      <c r="E58" s="555" t="s">
        <v>304</v>
      </c>
      <c r="F58" s="555" t="s">
        <v>305</v>
      </c>
      <c r="G58" s="555" t="s">
        <v>306</v>
      </c>
      <c r="H58" s="556" t="s">
        <v>307</v>
      </c>
      <c r="I58" s="554" t="s">
        <v>303</v>
      </c>
      <c r="J58" s="555" t="s">
        <v>304</v>
      </c>
      <c r="K58" s="555" t="s">
        <v>305</v>
      </c>
      <c r="L58" s="555" t="s">
        <v>306</v>
      </c>
      <c r="M58" s="556" t="s">
        <v>307</v>
      </c>
      <c r="N58" s="562"/>
      <c r="O58" s="562"/>
      <c r="P58" s="562"/>
    </row>
    <row r="59" spans="3:16">
      <c r="C59" s="557" t="e">
        <f>[3]PROPOSTA!#REF!</f>
        <v>#REF!</v>
      </c>
      <c r="D59" t="e">
        <f t="array" ref="D59:H59">TRUNC(($C59-((10^{15,12,9,6,3})*INT($C59/(10^{15,12,9,6,3}))))/10^{12,9,6,3,0})</f>
        <v>#REF!</v>
      </c>
      <c r="E59" t="e">
        <v>#REF!</v>
      </c>
      <c r="F59" t="e">
        <v>#REF!</v>
      </c>
      <c r="G59" t="e">
        <v>#REF!</v>
      </c>
      <c r="H59" t="e">
        <v>#REF!</v>
      </c>
      <c r="I59" t="e">
        <f>IF($C59&lt;10^15,"",IF(OR(D59=1,AND(D59&gt;=100,MOD(D59,100)=0)),IF(TRUNC(($C59-(10^12*INT($C59/(10^12)))))=0,_e_,_sp_),IF(D59&lt;100,"",_sp_)))&amp;IF(D59=1,INDEX(Sng,1,5),IF(D59&lt;100,"",IF(D59=100,OCem,INDEX(Cem,1,TRUNC(D59/100)))))&amp;IF(MOD(D59,100)=0,"",IF(D59=1,"",IF(OR(MOD(D59,100)&gt;=20,MOD(D59,100)=10),IF(OR(D59&gt;100,AND($C59&gt;10^15,TRUNC(($C59-(10^12*INT($C59/(10^12)))))=0)),_e_,IF($C59&gt;10^15,_sp_,"")),"")))&amp;IF(MOD(D59,100)=0,"",IF(D59=1,"",IF(OR(MOD(D59,100)&gt;=20,MOD(D59,100)=10),INDEX(Dez,1,TRUNC(MOD(D59,100)/10)),"")))&amp;IF(MOD(D59,100)=0,"",IF(D59=1,"",IF(MOD(MOD(D59,100),10)&lt;&gt;0,IF(OR(D59&gt;20,AND($C59&gt;10^15,TRUNC(($C59-(10^12*INT($C59/(10^12)))))=0)),_e_,IF($C59&gt;10^15,_sp_,"")),"")))&amp;IF(D59=0,"",IF(D59=1,"",IF(MOD(MOD(D59,100),10)=0,"",IF(MOD(D59,100)&lt;20,INDEX(Sml,1,MOD(D59,100)),INDEX(Sml,1,MOD(MOD(D59,100),10)))))) &amp; IF(D59&lt;=1,"",INDEX(Plu,1,5))</f>
        <v>#REF!</v>
      </c>
      <c r="J59" t="e">
        <f>IF($C59&lt;10^12,"",IF(OR(E59=1,AND(E59&gt;=100,MOD(E59,100)=0)),IF(TRUNC(($C59-(10^9*INT($C59/(10^9)))))=0,_e_,_sp_),IF(E59&lt;100,"",_sp_)))&amp;IF(E59=1,INDEX(Sng,1,4),IF(E59&lt;100,"",IF(E59=100,OCem,INDEX(Cem,1,TRUNC(E59/100)))))&amp;IF(MOD(E59,100)=0,"",IF(E59=1,"",IF(OR(MOD(E59,100)&gt;=20,MOD(E59,100)=10),IF(OR(E59&gt;100,AND($C59&gt;10^12,TRUNC(($C59-(10^9*INT($C59/(10^9)))))=0)),_e_,IF($C59&gt;10^12,_sp_,"")),"")))&amp;IF(MOD(E59,100)=0,"",IF(E59=1,"",IF(OR(MOD(E59,100)&gt;=20,MOD(E59,100)=10),INDEX(Dez,1,TRUNC(MOD(E59,100)/10)),"")))&amp;IF(MOD(E59,100)=0,"",IF(E59=1,"",IF(MOD(MOD(E59,100),10)&lt;&gt;0,IF(OR(E59&gt;20,AND($C59&gt;10^12,TRUNC(($C59-(10^9*INT($C59/(10^9)))))=0)),_e_,IF($C59&gt;10^12,_sp_,"")),"")))&amp;IF(E59=0,"",IF(E59=1,"",IF(MOD(MOD(E59,100),10)=0,"",IF(MOD(E59,100)&lt;20,INDEX(Sml,1,MOD(E59,100)),INDEX(Sml,1,MOD(MOD(E59,100),10)))))) &amp; IF(E59&lt;=1,"",INDEX(Plu,1,4))</f>
        <v>#REF!</v>
      </c>
      <c r="K59" t="e">
        <f>IF($C59&lt;10^9,"",IF(OR(F59=1,AND(F59&gt;=100,MOD(F59,100)=0)),IF(TRUNC(($C59-(10^6*INT($C59/(10^6)))))=0,_e_,_sp_),IF(F59&lt;100,"",_sp_)))&amp;IF(F59=1,INDEX(Sng,1,3),IF(F59&lt;100,"",IF(F59=100,OCem,INDEX(Cem,1,TRUNC(F59/100)))))&amp;IF(MOD(F59,100)=0,"",IF(F59=1,"",IF(OR(MOD(F59,100)&gt;=20,MOD(F59,100)=10),IF(OR(F59&gt;100,AND($C59&gt;10^9,TRUNC(($C59-(10^6*INT($C59/(10^6)))))=0)),_e_,IF($C59&gt;10^9,_sp_,"")),"")))&amp;IF(MOD(F59,100)=0,"",IF(F59=1,"",IF(OR(MOD(F59,100)&gt;=20,MOD(F59,100)=10),INDEX(Dez,1,TRUNC(MOD(F59,100)/10)),"")))&amp;IF(MOD(F59,100)=0,"",IF(F59=1,"",IF(MOD(MOD(F59,100),10)&lt;&gt;0,IF(OR(F59&gt;20,AND($C59&gt;10^9,TRUNC(($C59-(10^6*INT($C59/(10^6)))))=0)),_e_,IF($C59&gt;10^9,_sp_,"")),"")))&amp;IF(F59=0,"",IF(F59=1,"",IF(MOD(MOD(F59,100),10)=0,"",IF(MOD(F59,100)&lt;20,INDEX(Sml,1,MOD(F59,100)),INDEX(Sml,1,MOD(MOD(F59,100),10)))))) &amp; IF(F59&lt;=1,"",INDEX(Plu,1,3))</f>
        <v>#REF!</v>
      </c>
      <c r="L59" t="e">
        <f>IF($C59&lt;10^6,"",IF(OR(G59=1,AND(G59&gt;=100,MOD(G59,100)=0)),IF(TRUNC(($C59-(10^3*INT($C59/(10^3)))))=0,_e_,_sp_),IF(G59&lt;100,"",_sp_)))&amp;IF(G59=1,INDEX(Sng,1,2),IF(G59&lt;100,"",IF(G59=100,OCem,INDEX(Cem,1,TRUNC(G59/100)))))&amp;IF(MOD(G59,100)=0,"",IF(G59=1,"",IF(OR(MOD(G59,100)&gt;=20,MOD(G59,100)=10),IF(OR(G59&gt;100,AND($C59&gt;10^6,TRUNC(($C59-(10^3*INT($C59/(10^3)))))=0)),_e_,IF($C59&gt;10^6,_sp_,"")),"")))&amp;IF(MOD(G59,100)=0,"",IF(G59=1,"",IF(OR(MOD(G59,100)&gt;=20,MOD(G59,100)=10),INDEX(Dez,1,TRUNC(MOD(G59,100)/10)),"")))&amp;IF(MOD(G59,100)=0,"",IF(G59=1,"",IF(MOD(MOD(G59,100),10)&lt;&gt;0,IF(OR(G59&gt;20,AND($C59&gt;10^6,TRUNC(($C59-(10^3*INT($C59/(10^3)))))=0)),_e_,IF($C59&gt;10^6,_sp_,"")),"")))&amp;IF(G59=0,"",IF(G59=1,"",IF(MOD(MOD(G59,100),10)=0,"",IF(MOD(G59,100)&lt;20,INDEX(Sml,1,MOD(G59,100)),INDEX(Sml,1,MOD(MOD(G59,100),10)))))) &amp; IF(G59&lt;=1,"",INDEX(Plu,1,2))</f>
        <v>#REF!</v>
      </c>
      <c r="M59" t="e">
        <f>IF($C59&lt;10^3,"",IF(OR(H59=1,AND(H59&gt;=100,MOD(H59,100)=0)),IF(TRUNC(($C59-(10^0*INT($C59/(10^0)))))=0,_e_,_sp_),IF(H59&lt;100,"",_sp_)))&amp;IF(H59=1,INDEX(Sng,1,1),IF(H59&lt;100,"",IF(H59=100,OCem,INDEX(Cem,1,TRUNC(H59/100)))))&amp;IF(MOD(H59,100)=0,"",IF(H59=1,"",IF(OR(MOD(H59,100)&gt;=20,MOD(H59,100)=10),IF(OR(H59&gt;100,AND($C59&gt;10^3,TRUNC(($C59-(10^0*INT($C59/(10^0)))))=0)),_e_,IF($C59&gt;10^3,_sp_,"")),"")))&amp;IF(MOD(H59,100)=0,"",IF(H59=1,"",IF(OR(MOD(H59,100)&gt;=20,MOD(H59,100)=10),INDEX(Dez,1,TRUNC(MOD(H59,100)/10)),"")))&amp;IF(MOD(H59,100)=0,"",IF(H59=1,"",IF(MOD(MOD(H59,100),10)&lt;&gt;0,IF(OR(H59&gt;20,AND($C59&gt;10^3,TRUNC(($C59-(10^0*INT($C59/(10^0)))))=0)),_e_,IF($C59&gt;10^3,_sp_,"")),"")))&amp;IF(H59=0,"",IF(H59=1,"",IF(MOD(MOD(H59,100),10)=0,"",IF(MOD(H59,100)&lt;20,INDEX(Sml,1,MOD(H59,100)),INDEX(Sml,1,MOD(MOD(H59,100),10)))))) &amp; IF(H59&lt;=1,"",INDEX(Plu,1,1))</f>
        <v>#REF!</v>
      </c>
      <c r="N59" t="e">
        <f>IF($C59&lt;1,"",IF(TRUNC($C59)=1," real",IF(AND($C59&gt;=10^6,TRUNC($C59-10^6*INT($C59/10^6))=0)," de","") &amp; " reais"))</f>
        <v>#REF!</v>
      </c>
      <c r="O59" t="e">
        <f>IF((ROUND($C59-TRUNC($C59),2)*100)=0,"",IF($C59&gt;=1,_e_,"") &amp; IF((ROUND($C59-TRUNC($C59),2)*100)=1,"um centavo",IF((ROUND($C59-TRUNC($C59),2)*100)&gt;=20,INDEX(Dez,1,TRUNC((ROUND($C59-TRUNC($C59),2)*100)/10)) &amp; IF(MOD((ROUND($C59-TRUNC($C59),2)*100),10)&lt;&gt;0,_e_ &amp; INDEX(Sml,1,MOD((ROUND($C59-TRUNC($C59),2)*100),10)),""),INDEX(Sml,1,(ROUND($C59-TRUNC($C59),2)*100))) &amp; " centavos"))</f>
        <v>#REF!</v>
      </c>
      <c r="P59" t="e">
        <f>I59&amp;J59&amp;K59&amp;L59&amp;M59&amp;N59&amp;O59</f>
        <v>#REF!</v>
      </c>
    </row>
    <row r="62" spans="3:16" ht="13.5" thickBot="1"/>
    <row r="63" spans="3:16" ht="13.5" thickBot="1">
      <c r="D63" s="894" t="s">
        <v>297</v>
      </c>
      <c r="E63" s="895"/>
      <c r="F63" s="895"/>
      <c r="G63" s="895"/>
      <c r="H63" s="896"/>
      <c r="I63" s="894" t="s">
        <v>298</v>
      </c>
      <c r="J63" s="895"/>
      <c r="K63" s="895"/>
      <c r="L63" s="895"/>
      <c r="M63" s="896"/>
      <c r="N63" s="897" t="s">
        <v>299</v>
      </c>
      <c r="O63" s="897" t="s">
        <v>300</v>
      </c>
      <c r="P63" s="897" t="s">
        <v>301</v>
      </c>
    </row>
    <row r="64" spans="3:16" ht="26.25" thickBot="1">
      <c r="C64" s="553" t="s">
        <v>302</v>
      </c>
      <c r="D64" s="554" t="s">
        <v>303</v>
      </c>
      <c r="E64" s="555" t="s">
        <v>304</v>
      </c>
      <c r="F64" s="555" t="s">
        <v>305</v>
      </c>
      <c r="G64" s="555" t="s">
        <v>306</v>
      </c>
      <c r="H64" s="556" t="s">
        <v>307</v>
      </c>
      <c r="I64" s="554" t="s">
        <v>303</v>
      </c>
      <c r="J64" s="555" t="s">
        <v>304</v>
      </c>
      <c r="K64" s="555" t="s">
        <v>305</v>
      </c>
      <c r="L64" s="555" t="s">
        <v>306</v>
      </c>
      <c r="M64" s="556" t="s">
        <v>307</v>
      </c>
      <c r="N64" s="898"/>
      <c r="O64" s="898"/>
      <c r="P64" s="898"/>
    </row>
    <row r="65" spans="3:16">
      <c r="C65" s="557" t="e">
        <f>[3]PROPOSTA!#REF!</f>
        <v>#REF!</v>
      </c>
      <c r="D65" t="e">
        <f t="array" ref="D65:H65">TRUNC(($C65-((10^{15,12,9,6,3})*INT($C65/(10^{15,12,9,6,3}))))/10^{12,9,6,3,0})</f>
        <v>#REF!</v>
      </c>
      <c r="E65" t="e">
        <v>#REF!</v>
      </c>
      <c r="F65" t="e">
        <v>#REF!</v>
      </c>
      <c r="G65" t="e">
        <v>#REF!</v>
      </c>
      <c r="H65" t="e">
        <v>#REF!</v>
      </c>
      <c r="I65" t="e">
        <f>IF($C65&lt;10^15,"",IF(OR(D65=1,AND(D65&gt;=100,MOD(D65,100)=0)),IF(TRUNC(($C65-(10^12*INT($C65/(10^12)))))=0,_e_,_sp_),IF(D65&lt;100,"",_sp_)))&amp;IF(D65=1,INDEX(Sng,1,5),IF(D65&lt;100,"",IF(D65=100,OCem,INDEX(Cem,1,TRUNC(D65/100)))))&amp;IF(MOD(D65,100)=0,"",IF(D65=1,"",IF(OR(MOD(D65,100)&gt;=20,MOD(D65,100)=10),IF(OR(D65&gt;100,AND($C65&gt;10^15,TRUNC(($C65-(10^12*INT($C65/(10^12)))))=0)),_e_,IF($C65&gt;10^15,_sp_,"")),"")))&amp;IF(MOD(D65,100)=0,"",IF(D65=1,"",IF(OR(MOD(D65,100)&gt;=20,MOD(D65,100)=10),INDEX(Dez,1,TRUNC(MOD(D65,100)/10)),"")))&amp;IF(MOD(D65,100)=0,"",IF(D65=1,"",IF(MOD(MOD(D65,100),10)&lt;&gt;0,IF(OR(D65&gt;20,AND($C65&gt;10^15,TRUNC(($C65-(10^12*INT($C65/(10^12)))))=0)),_e_,IF($C65&gt;10^15,_sp_,"")),"")))&amp;IF(D65=0,"",IF(D65=1,"",IF(MOD(MOD(D65,100),10)=0,"",IF(MOD(D65,100)&lt;20,INDEX(Sml,1,MOD(D65,100)),INDEX(Sml,1,MOD(MOD(D65,100),10)))))) &amp; IF(D65&lt;=1,"",INDEX(Plu,1,5))</f>
        <v>#REF!</v>
      </c>
      <c r="J65" t="e">
        <f>IF($C65&lt;10^12,"",IF(OR(E65=1,AND(E65&gt;=100,MOD(E65,100)=0)),IF(TRUNC(($C65-(10^9*INT($C65/(10^9)))))=0,_e_,_sp_),IF(E65&lt;100,"",_sp_)))&amp;IF(E65=1,INDEX(Sng,1,4),IF(E65&lt;100,"",IF(E65=100,OCem,INDEX(Cem,1,TRUNC(E65/100)))))&amp;IF(MOD(E65,100)=0,"",IF(E65=1,"",IF(OR(MOD(E65,100)&gt;=20,MOD(E65,100)=10),IF(OR(E65&gt;100,AND($C65&gt;10^12,TRUNC(($C65-(10^9*INT($C65/(10^9)))))=0)),_e_,IF($C65&gt;10^12,_sp_,"")),"")))&amp;IF(MOD(E65,100)=0,"",IF(E65=1,"",IF(OR(MOD(E65,100)&gt;=20,MOD(E65,100)=10),INDEX(Dez,1,TRUNC(MOD(E65,100)/10)),"")))&amp;IF(MOD(E65,100)=0,"",IF(E65=1,"",IF(MOD(MOD(E65,100),10)&lt;&gt;0,IF(OR(E65&gt;20,AND($C65&gt;10^12,TRUNC(($C65-(10^9*INT($C65/(10^9)))))=0)),_e_,IF($C65&gt;10^12,_sp_,"")),"")))&amp;IF(E65=0,"",IF(E65=1,"",IF(MOD(MOD(E65,100),10)=0,"",IF(MOD(E65,100)&lt;20,INDEX(Sml,1,MOD(E65,100)),INDEX(Sml,1,MOD(MOD(E65,100),10)))))) &amp; IF(E65&lt;=1,"",INDEX(Plu,1,4))</f>
        <v>#REF!</v>
      </c>
      <c r="K65" t="e">
        <f>IF($C65&lt;10^9,"",IF(OR(F65=1,AND(F65&gt;=100,MOD(F65,100)=0)),IF(TRUNC(($C65-(10^6*INT($C65/(10^6)))))=0,_e_,_sp_),IF(F65&lt;100,"",_sp_)))&amp;IF(F65=1,INDEX(Sng,1,3),IF(F65&lt;100,"",IF(F65=100,OCem,INDEX(Cem,1,TRUNC(F65/100)))))&amp;IF(MOD(F65,100)=0,"",IF(F65=1,"",IF(OR(MOD(F65,100)&gt;=20,MOD(F65,100)=10),IF(OR(F65&gt;100,AND($C65&gt;10^9,TRUNC(($C65-(10^6*INT($C65/(10^6)))))=0)),_e_,IF($C65&gt;10^9,_sp_,"")),"")))&amp;IF(MOD(F65,100)=0,"",IF(F65=1,"",IF(OR(MOD(F65,100)&gt;=20,MOD(F65,100)=10),INDEX(Dez,1,TRUNC(MOD(F65,100)/10)),"")))&amp;IF(MOD(F65,100)=0,"",IF(F65=1,"",IF(MOD(MOD(F65,100),10)&lt;&gt;0,IF(OR(F65&gt;20,AND($C65&gt;10^9,TRUNC(($C65-(10^6*INT($C65/(10^6)))))=0)),_e_,IF($C65&gt;10^9,_sp_,"")),"")))&amp;IF(F65=0,"",IF(F65=1,"",IF(MOD(MOD(F65,100),10)=0,"",IF(MOD(F65,100)&lt;20,INDEX(Sml,1,MOD(F65,100)),INDEX(Sml,1,MOD(MOD(F65,100),10)))))) &amp; IF(F65&lt;=1,"",INDEX(Plu,1,3))</f>
        <v>#REF!</v>
      </c>
      <c r="L65" t="e">
        <f>IF($C65&lt;10^6,"",IF(OR(G65=1,AND(G65&gt;=100,MOD(G65,100)=0)),IF(TRUNC(($C65-(10^3*INT($C65/(10^3)))))=0,_e_,_sp_),IF(G65&lt;100,"",_sp_)))&amp;IF(G65=1,INDEX(Sng,1,2),IF(G65&lt;100,"",IF(G65=100,OCem,INDEX(Cem,1,TRUNC(G65/100)))))&amp;IF(MOD(G65,100)=0,"",IF(G65=1,"",IF(OR(MOD(G65,100)&gt;=20,MOD(G65,100)=10),IF(OR(G65&gt;100,AND($C65&gt;10^6,TRUNC(($C65-(10^3*INT($C65/(10^3)))))=0)),_e_,IF($C65&gt;10^6,_sp_,"")),"")))&amp;IF(MOD(G65,100)=0,"",IF(G65=1,"",IF(OR(MOD(G65,100)&gt;=20,MOD(G65,100)=10),INDEX(Dez,1,TRUNC(MOD(G65,100)/10)),"")))&amp;IF(MOD(G65,100)=0,"",IF(G65=1,"",IF(MOD(MOD(G65,100),10)&lt;&gt;0,IF(OR(G65&gt;20,AND($C65&gt;10^6,TRUNC(($C65-(10^3*INT($C65/(10^3)))))=0)),_e_,IF($C65&gt;10^6,_sp_,"")),"")))&amp;IF(G65=0,"",IF(G65=1,"",IF(MOD(MOD(G65,100),10)=0,"",IF(MOD(G65,100)&lt;20,INDEX(Sml,1,MOD(G65,100)),INDEX(Sml,1,MOD(MOD(G65,100),10)))))) &amp; IF(G65&lt;=1,"",INDEX(Plu,1,2))</f>
        <v>#REF!</v>
      </c>
      <c r="M65" t="e">
        <f>IF($C65&lt;10^3,"",IF(OR(H65=1,AND(H65&gt;=100,MOD(H65,100)=0)),IF(TRUNC(($C65-(10^0*INT($C65/(10^0)))))=0,_e_,_sp_),IF(H65&lt;100,"",_sp_)))&amp;IF(H65=1,INDEX(Sng,1,1),IF(H65&lt;100,"",IF(H65=100,OCem,INDEX(Cem,1,TRUNC(H65/100)))))&amp;IF(MOD(H65,100)=0,"",IF(H65=1,"",IF(OR(MOD(H65,100)&gt;=20,MOD(H65,100)=10),IF(OR(H65&gt;100,AND($C65&gt;10^3,TRUNC(($C65-(10^0*INT($C65/(10^0)))))=0)),_e_,IF($C65&gt;10^3,_sp_,"")),"")))&amp;IF(MOD(H65,100)=0,"",IF(H65=1,"",IF(OR(MOD(H65,100)&gt;=20,MOD(H65,100)=10),INDEX(Dez,1,TRUNC(MOD(H65,100)/10)),"")))&amp;IF(MOD(H65,100)=0,"",IF(H65=1,"",IF(MOD(MOD(H65,100),10)&lt;&gt;0,IF(OR(H65&gt;20,AND($C65&gt;10^3,TRUNC(($C65-(10^0*INT($C65/(10^0)))))=0)),_e_,IF($C65&gt;10^3,_sp_,"")),"")))&amp;IF(H65=0,"",IF(H65=1,"",IF(MOD(MOD(H65,100),10)=0,"",IF(MOD(H65,100)&lt;20,INDEX(Sml,1,MOD(H65,100)),INDEX(Sml,1,MOD(MOD(H65,100),10)))))) &amp; IF(H65&lt;=1,"",INDEX(Plu,1,1))</f>
        <v>#REF!</v>
      </c>
      <c r="N65" t="e">
        <f>IF($C65&lt;1,"",IF(TRUNC($C65)=1," real",IF(AND($C65&gt;=10^6,TRUNC($C65-10^6*INT($C65/10^6))=0)," de","") &amp; " reais"))</f>
        <v>#REF!</v>
      </c>
      <c r="O65" t="e">
        <f>IF((ROUND($C65-TRUNC($C65),2)*100)=0,"",IF($C65&gt;=1,_e_,"") &amp; IF((ROUND($C65-TRUNC($C65),2)*100)=1,"um centavo",IF((ROUND($C65-TRUNC($C65),2)*100)&gt;=20,INDEX(Dez,1,TRUNC((ROUND($C65-TRUNC($C65),2)*100)/10)) &amp; IF(MOD((ROUND($C65-TRUNC($C65),2)*100),10)&lt;&gt;0,_e_ &amp; INDEX(Sml,1,MOD((ROUND($C65-TRUNC($C65),2)*100),10)),""),INDEX(Sml,1,(ROUND($C65-TRUNC($C65),2)*100))) &amp; " centavos"))</f>
        <v>#REF!</v>
      </c>
      <c r="P65" t="e">
        <f>I65&amp;J65&amp;K65&amp;L65&amp;M65&amp;N65&amp;O65</f>
        <v>#REF!</v>
      </c>
    </row>
    <row r="68" spans="3:16" ht="13.5" thickBot="1"/>
    <row r="69" spans="3:16" ht="13.5" thickBot="1">
      <c r="D69" s="558" t="s">
        <v>297</v>
      </c>
      <c r="E69" s="559"/>
      <c r="F69" s="559"/>
      <c r="G69" s="559"/>
      <c r="H69" s="560"/>
      <c r="I69" s="558" t="s">
        <v>298</v>
      </c>
      <c r="J69" s="559"/>
      <c r="K69" s="559"/>
      <c r="L69" s="559"/>
      <c r="M69" s="560"/>
      <c r="N69" s="561" t="s">
        <v>299</v>
      </c>
      <c r="O69" s="561" t="s">
        <v>300</v>
      </c>
      <c r="P69" s="561" t="s">
        <v>301</v>
      </c>
    </row>
    <row r="70" spans="3:16" ht="26.25" thickBot="1">
      <c r="C70" s="553" t="s">
        <v>302</v>
      </c>
      <c r="D70" s="554" t="s">
        <v>303</v>
      </c>
      <c r="E70" s="555" t="s">
        <v>304</v>
      </c>
      <c r="F70" s="555" t="s">
        <v>305</v>
      </c>
      <c r="G70" s="555" t="s">
        <v>306</v>
      </c>
      <c r="H70" s="556" t="s">
        <v>307</v>
      </c>
      <c r="I70" s="554" t="s">
        <v>303</v>
      </c>
      <c r="J70" s="555" t="s">
        <v>304</v>
      </c>
      <c r="K70" s="555" t="s">
        <v>305</v>
      </c>
      <c r="L70" s="555" t="s">
        <v>306</v>
      </c>
      <c r="M70" s="556" t="s">
        <v>307</v>
      </c>
      <c r="N70" s="562"/>
      <c r="O70" s="562"/>
      <c r="P70" s="562"/>
    </row>
    <row r="71" spans="3:16">
      <c r="C71" s="557" t="e">
        <f>[3]PROPOSTA!#REF!</f>
        <v>#REF!</v>
      </c>
      <c r="D71" t="e">
        <f t="array" ref="D71:H71">TRUNC(($C71-((10^{15,12,9,6,3})*INT($C71/(10^{15,12,9,6,3}))))/10^{12,9,6,3,0})</f>
        <v>#REF!</v>
      </c>
      <c r="E71" t="e">
        <v>#REF!</v>
      </c>
      <c r="F71" t="e">
        <v>#REF!</v>
      </c>
      <c r="G71" t="e">
        <v>#REF!</v>
      </c>
      <c r="H71" t="e">
        <v>#REF!</v>
      </c>
      <c r="I71" t="e">
        <f>IF($C71&lt;10^15,"",IF(OR(D71=1,AND(D71&gt;=100,MOD(D71,100)=0)),IF(TRUNC(($C71-(10^12*INT($C71/(10^12)))))=0,_e_,_sp_),IF(D71&lt;100,"",_sp_)))&amp;IF(D71=1,INDEX(Sng,1,5),IF(D71&lt;100,"",IF(D71=100,OCem,INDEX(Cem,1,TRUNC(D71/100)))))&amp;IF(MOD(D71,100)=0,"",IF(D71=1,"",IF(OR(MOD(D71,100)&gt;=20,MOD(D71,100)=10),IF(OR(D71&gt;100,AND($C71&gt;10^15,TRUNC(($C71-(10^12*INT($C71/(10^12)))))=0)),_e_,IF($C71&gt;10^15,_sp_,"")),"")))&amp;IF(MOD(D71,100)=0,"",IF(D71=1,"",IF(OR(MOD(D71,100)&gt;=20,MOD(D71,100)=10),INDEX(Dez,1,TRUNC(MOD(D71,100)/10)),"")))&amp;IF(MOD(D71,100)=0,"",IF(D71=1,"",IF(MOD(MOD(D71,100),10)&lt;&gt;0,IF(OR(D71&gt;20,AND($C71&gt;10^15,TRUNC(($C71-(10^12*INT($C71/(10^12)))))=0)),_e_,IF($C71&gt;10^15,_sp_,"")),"")))&amp;IF(D71=0,"",IF(D71=1,"",IF(MOD(MOD(D71,100),10)=0,"",IF(MOD(D71,100)&lt;20,INDEX(Sml,1,MOD(D71,100)),INDEX(Sml,1,MOD(MOD(D71,100),10)))))) &amp; IF(D71&lt;=1,"",INDEX(Plu,1,5))</f>
        <v>#REF!</v>
      </c>
      <c r="J71" t="e">
        <f>IF($C71&lt;10^12,"",IF(OR(E71=1,AND(E71&gt;=100,MOD(E71,100)=0)),IF(TRUNC(($C71-(10^9*INT($C71/(10^9)))))=0,_e_,_sp_),IF(E71&lt;100,"",_sp_)))&amp;IF(E71=1,INDEX(Sng,1,4),IF(E71&lt;100,"",IF(E71=100,OCem,INDEX(Cem,1,TRUNC(E71/100)))))&amp;IF(MOD(E71,100)=0,"",IF(E71=1,"",IF(OR(MOD(E71,100)&gt;=20,MOD(E71,100)=10),IF(OR(E71&gt;100,AND($C71&gt;10^12,TRUNC(($C71-(10^9*INT($C71/(10^9)))))=0)),_e_,IF($C71&gt;10^12,_sp_,"")),"")))&amp;IF(MOD(E71,100)=0,"",IF(E71=1,"",IF(OR(MOD(E71,100)&gt;=20,MOD(E71,100)=10),INDEX(Dez,1,TRUNC(MOD(E71,100)/10)),"")))&amp;IF(MOD(E71,100)=0,"",IF(E71=1,"",IF(MOD(MOD(E71,100),10)&lt;&gt;0,IF(OR(E71&gt;20,AND($C71&gt;10^12,TRUNC(($C71-(10^9*INT($C71/(10^9)))))=0)),_e_,IF($C71&gt;10^12,_sp_,"")),"")))&amp;IF(E71=0,"",IF(E71=1,"",IF(MOD(MOD(E71,100),10)=0,"",IF(MOD(E71,100)&lt;20,INDEX(Sml,1,MOD(E71,100)),INDEX(Sml,1,MOD(MOD(E71,100),10)))))) &amp; IF(E71&lt;=1,"",INDEX(Plu,1,4))</f>
        <v>#REF!</v>
      </c>
      <c r="K71" t="e">
        <f>IF($C71&lt;10^9,"",IF(OR(F71=1,AND(F71&gt;=100,MOD(F71,100)=0)),IF(TRUNC(($C71-(10^6*INT($C71/(10^6)))))=0,_e_,_sp_),IF(F71&lt;100,"",_sp_)))&amp;IF(F71=1,INDEX(Sng,1,3),IF(F71&lt;100,"",IF(F71=100,OCem,INDEX(Cem,1,TRUNC(F71/100)))))&amp;IF(MOD(F71,100)=0,"",IF(F71=1,"",IF(OR(MOD(F71,100)&gt;=20,MOD(F71,100)=10),IF(OR(F71&gt;100,AND($C71&gt;10^9,TRUNC(($C71-(10^6*INT($C71/(10^6)))))=0)),_e_,IF($C71&gt;10^9,_sp_,"")),"")))&amp;IF(MOD(F71,100)=0,"",IF(F71=1,"",IF(OR(MOD(F71,100)&gt;=20,MOD(F71,100)=10),INDEX(Dez,1,TRUNC(MOD(F71,100)/10)),"")))&amp;IF(MOD(F71,100)=0,"",IF(F71=1,"",IF(MOD(MOD(F71,100),10)&lt;&gt;0,IF(OR(F71&gt;20,AND($C71&gt;10^9,TRUNC(($C71-(10^6*INT($C71/(10^6)))))=0)),_e_,IF($C71&gt;10^9,_sp_,"")),"")))&amp;IF(F71=0,"",IF(F71=1,"",IF(MOD(MOD(F71,100),10)=0,"",IF(MOD(F71,100)&lt;20,INDEX(Sml,1,MOD(F71,100)),INDEX(Sml,1,MOD(MOD(F71,100),10)))))) &amp; IF(F71&lt;=1,"",INDEX(Plu,1,3))</f>
        <v>#REF!</v>
      </c>
      <c r="L71" t="e">
        <f>IF($C71&lt;10^6,"",IF(OR(G71=1,AND(G71&gt;=100,MOD(G71,100)=0)),IF(TRUNC(($C71-(10^3*INT($C71/(10^3)))))=0,_e_,_sp_),IF(G71&lt;100,"",_sp_)))&amp;IF(G71=1,INDEX(Sng,1,2),IF(G71&lt;100,"",IF(G71=100,OCem,INDEX(Cem,1,TRUNC(G71/100)))))&amp;IF(MOD(G71,100)=0,"",IF(G71=1,"",IF(OR(MOD(G71,100)&gt;=20,MOD(G71,100)=10),IF(OR(G71&gt;100,AND($C71&gt;10^6,TRUNC(($C71-(10^3*INT($C71/(10^3)))))=0)),_e_,IF($C71&gt;10^6,_sp_,"")),"")))&amp;IF(MOD(G71,100)=0,"",IF(G71=1,"",IF(OR(MOD(G71,100)&gt;=20,MOD(G71,100)=10),INDEX(Dez,1,TRUNC(MOD(G71,100)/10)),"")))&amp;IF(MOD(G71,100)=0,"",IF(G71=1,"",IF(MOD(MOD(G71,100),10)&lt;&gt;0,IF(OR(G71&gt;20,AND($C71&gt;10^6,TRUNC(($C71-(10^3*INT($C71/(10^3)))))=0)),_e_,IF($C71&gt;10^6,_sp_,"")),"")))&amp;IF(G71=0,"",IF(G71=1,"",IF(MOD(MOD(G71,100),10)=0,"",IF(MOD(G71,100)&lt;20,INDEX(Sml,1,MOD(G71,100)),INDEX(Sml,1,MOD(MOD(G71,100),10)))))) &amp; IF(G71&lt;=1,"",INDEX(Plu,1,2))</f>
        <v>#REF!</v>
      </c>
      <c r="M71" t="e">
        <f>IF($C71&lt;10^3,"",IF(OR(H71=1,AND(H71&gt;=100,MOD(H71,100)=0)),IF(TRUNC(($C71-(10^0*INT($C71/(10^0)))))=0,_e_,_sp_),IF(H71&lt;100,"",_sp_)))&amp;IF(H71=1,INDEX(Sng,1,1),IF(H71&lt;100,"",IF(H71=100,OCem,INDEX(Cem,1,TRUNC(H71/100)))))&amp;IF(MOD(H71,100)=0,"",IF(H71=1,"",IF(OR(MOD(H71,100)&gt;=20,MOD(H71,100)=10),IF(OR(H71&gt;100,AND($C71&gt;10^3,TRUNC(($C71-(10^0*INT($C71/(10^0)))))=0)),_e_,IF($C71&gt;10^3,_sp_,"")),"")))&amp;IF(MOD(H71,100)=0,"",IF(H71=1,"",IF(OR(MOD(H71,100)&gt;=20,MOD(H71,100)=10),INDEX(Dez,1,TRUNC(MOD(H71,100)/10)),"")))&amp;IF(MOD(H71,100)=0,"",IF(H71=1,"",IF(MOD(MOD(H71,100),10)&lt;&gt;0,IF(OR(H71&gt;20,AND($C71&gt;10^3,TRUNC(($C71-(10^0*INT($C71/(10^0)))))=0)),_e_,IF($C71&gt;10^3,_sp_,"")),"")))&amp;IF(H71=0,"",IF(H71=1,"",IF(MOD(MOD(H71,100),10)=0,"",IF(MOD(H71,100)&lt;20,INDEX(Sml,1,MOD(H71,100)),INDEX(Sml,1,MOD(MOD(H71,100),10)))))) &amp; IF(H71&lt;=1,"",INDEX(Plu,1,1))</f>
        <v>#REF!</v>
      </c>
      <c r="N71" t="e">
        <f>IF($C71&lt;1,"",IF(TRUNC($C71)=1," real",IF(AND($C71&gt;=10^6,TRUNC($C71-10^6*INT($C71/10^6))=0)," de","") &amp; " reais"))</f>
        <v>#REF!</v>
      </c>
      <c r="O71" t="e">
        <f>IF((ROUND($C71-TRUNC($C71),2)*100)=0,"",IF($C71&gt;=1,_e_,"") &amp; IF((ROUND($C71-TRUNC($C71),2)*100)=1,"um centavo",IF((ROUND($C71-TRUNC($C71),2)*100)&gt;=20,INDEX(Dez,1,TRUNC((ROUND($C71-TRUNC($C71),2)*100)/10)) &amp; IF(MOD((ROUND($C71-TRUNC($C71),2)*100),10)&lt;&gt;0,_e_ &amp; INDEX(Sml,1,MOD((ROUND($C71-TRUNC($C71),2)*100),10)),""),INDEX(Sml,1,(ROUND($C71-TRUNC($C71),2)*100))) &amp; " centavos"))</f>
        <v>#REF!</v>
      </c>
      <c r="P71" t="e">
        <f>I71&amp;J71&amp;K71&amp;L71&amp;M71&amp;N71&amp;O71</f>
        <v>#REF!</v>
      </c>
    </row>
    <row r="74" spans="3:16" ht="13.5" thickBot="1"/>
    <row r="75" spans="3:16" ht="13.5" thickBot="1">
      <c r="D75" s="894" t="s">
        <v>297</v>
      </c>
      <c r="E75" s="895"/>
      <c r="F75" s="895"/>
      <c r="G75" s="895"/>
      <c r="H75" s="896"/>
      <c r="I75" s="894" t="s">
        <v>298</v>
      </c>
      <c r="J75" s="895"/>
      <c r="K75" s="895"/>
      <c r="L75" s="895"/>
      <c r="M75" s="896"/>
      <c r="N75" s="897" t="s">
        <v>299</v>
      </c>
      <c r="O75" s="897" t="s">
        <v>300</v>
      </c>
      <c r="P75" s="897" t="s">
        <v>301</v>
      </c>
    </row>
    <row r="76" spans="3:16" ht="26.25" thickBot="1">
      <c r="C76" s="553" t="s">
        <v>302</v>
      </c>
      <c r="D76" s="554" t="s">
        <v>303</v>
      </c>
      <c r="E76" s="555" t="s">
        <v>304</v>
      </c>
      <c r="F76" s="555" t="s">
        <v>305</v>
      </c>
      <c r="G76" s="555" t="s">
        <v>306</v>
      </c>
      <c r="H76" s="556" t="s">
        <v>307</v>
      </c>
      <c r="I76" s="554" t="s">
        <v>303</v>
      </c>
      <c r="J76" s="555" t="s">
        <v>304</v>
      </c>
      <c r="K76" s="555" t="s">
        <v>305</v>
      </c>
      <c r="L76" s="555" t="s">
        <v>306</v>
      </c>
      <c r="M76" s="556" t="s">
        <v>307</v>
      </c>
      <c r="N76" s="898"/>
      <c r="O76" s="898"/>
      <c r="P76" s="898"/>
    </row>
    <row r="77" spans="3:16">
      <c r="C77" s="557" t="e">
        <f>[3]PROPOSTA!#REF!</f>
        <v>#REF!</v>
      </c>
      <c r="D77" t="e">
        <f t="array" ref="D77:H77">TRUNC(($C77-((10^{15,12,9,6,3})*INT($C77/(10^{15,12,9,6,3}))))/10^{12,9,6,3,0})</f>
        <v>#REF!</v>
      </c>
      <c r="E77" t="e">
        <v>#REF!</v>
      </c>
      <c r="F77" t="e">
        <v>#REF!</v>
      </c>
      <c r="G77" t="e">
        <v>#REF!</v>
      </c>
      <c r="H77" t="e">
        <v>#REF!</v>
      </c>
      <c r="I77" t="e">
        <f>IF($C77&lt;10^15,"",IF(OR(D77=1,AND(D77&gt;=100,MOD(D77,100)=0)),IF(TRUNC(($C77-(10^12*INT($C77/(10^12)))))=0,_e_,_sp_),IF(D77&lt;100,"",_sp_)))&amp;IF(D77=1,INDEX(Sng,1,5),IF(D77&lt;100,"",IF(D77=100,OCem,INDEX(Cem,1,TRUNC(D77/100)))))&amp;IF(MOD(D77,100)=0,"",IF(D77=1,"",IF(OR(MOD(D77,100)&gt;=20,MOD(D77,100)=10),IF(OR(D77&gt;100,AND($C77&gt;10^15,TRUNC(($C77-(10^12*INT($C77/(10^12)))))=0)),_e_,IF($C77&gt;10^15,_sp_,"")),"")))&amp;IF(MOD(D77,100)=0,"",IF(D77=1,"",IF(OR(MOD(D77,100)&gt;=20,MOD(D77,100)=10),INDEX(Dez,1,TRUNC(MOD(D77,100)/10)),"")))&amp;IF(MOD(D77,100)=0,"",IF(D77=1,"",IF(MOD(MOD(D77,100),10)&lt;&gt;0,IF(OR(D77&gt;20,AND($C77&gt;10^15,TRUNC(($C77-(10^12*INT($C77/(10^12)))))=0)),_e_,IF($C77&gt;10^15,_sp_,"")),"")))&amp;IF(D77=0,"",IF(D77=1,"",IF(MOD(MOD(D77,100),10)=0,"",IF(MOD(D77,100)&lt;20,INDEX(Sml,1,MOD(D77,100)),INDEX(Sml,1,MOD(MOD(D77,100),10)))))) &amp; IF(D77&lt;=1,"",INDEX(Plu,1,5))</f>
        <v>#REF!</v>
      </c>
      <c r="J77" t="e">
        <f>IF($C77&lt;10^12,"",IF(OR(E77=1,AND(E77&gt;=100,MOD(E77,100)=0)),IF(TRUNC(($C77-(10^9*INT($C77/(10^9)))))=0,_e_,_sp_),IF(E77&lt;100,"",_sp_)))&amp;IF(E77=1,INDEX(Sng,1,4),IF(E77&lt;100,"",IF(E77=100,OCem,INDEX(Cem,1,TRUNC(E77/100)))))&amp;IF(MOD(E77,100)=0,"",IF(E77=1,"",IF(OR(MOD(E77,100)&gt;=20,MOD(E77,100)=10),IF(OR(E77&gt;100,AND($C77&gt;10^12,TRUNC(($C77-(10^9*INT($C77/(10^9)))))=0)),_e_,IF($C77&gt;10^12,_sp_,"")),"")))&amp;IF(MOD(E77,100)=0,"",IF(E77=1,"",IF(OR(MOD(E77,100)&gt;=20,MOD(E77,100)=10),INDEX(Dez,1,TRUNC(MOD(E77,100)/10)),"")))&amp;IF(MOD(E77,100)=0,"",IF(E77=1,"",IF(MOD(MOD(E77,100),10)&lt;&gt;0,IF(OR(E77&gt;20,AND($C77&gt;10^12,TRUNC(($C77-(10^9*INT($C77/(10^9)))))=0)),_e_,IF($C77&gt;10^12,_sp_,"")),"")))&amp;IF(E77=0,"",IF(E77=1,"",IF(MOD(MOD(E77,100),10)=0,"",IF(MOD(E77,100)&lt;20,INDEX(Sml,1,MOD(E77,100)),INDEX(Sml,1,MOD(MOD(E77,100),10)))))) &amp; IF(E77&lt;=1,"",INDEX(Plu,1,4))</f>
        <v>#REF!</v>
      </c>
      <c r="K77" t="e">
        <f>IF($C77&lt;10^9,"",IF(OR(F77=1,AND(F77&gt;=100,MOD(F77,100)=0)),IF(TRUNC(($C77-(10^6*INT($C77/(10^6)))))=0,_e_,_sp_),IF(F77&lt;100,"",_sp_)))&amp;IF(F77=1,INDEX(Sng,1,3),IF(F77&lt;100,"",IF(F77=100,OCem,INDEX(Cem,1,TRUNC(F77/100)))))&amp;IF(MOD(F77,100)=0,"",IF(F77=1,"",IF(OR(MOD(F77,100)&gt;=20,MOD(F77,100)=10),IF(OR(F77&gt;100,AND($C77&gt;10^9,TRUNC(($C77-(10^6*INT($C77/(10^6)))))=0)),_e_,IF($C77&gt;10^9,_sp_,"")),"")))&amp;IF(MOD(F77,100)=0,"",IF(F77=1,"",IF(OR(MOD(F77,100)&gt;=20,MOD(F77,100)=10),INDEX(Dez,1,TRUNC(MOD(F77,100)/10)),"")))&amp;IF(MOD(F77,100)=0,"",IF(F77=1,"",IF(MOD(MOD(F77,100),10)&lt;&gt;0,IF(OR(F77&gt;20,AND($C77&gt;10^9,TRUNC(($C77-(10^6*INT($C77/(10^6)))))=0)),_e_,IF($C77&gt;10^9,_sp_,"")),"")))&amp;IF(F77=0,"",IF(F77=1,"",IF(MOD(MOD(F77,100),10)=0,"",IF(MOD(F77,100)&lt;20,INDEX(Sml,1,MOD(F77,100)),INDEX(Sml,1,MOD(MOD(F77,100),10)))))) &amp; IF(F77&lt;=1,"",INDEX(Plu,1,3))</f>
        <v>#REF!</v>
      </c>
      <c r="L77" t="e">
        <f>IF($C77&lt;10^6,"",IF(OR(G77=1,AND(G77&gt;=100,MOD(G77,100)=0)),IF(TRUNC(($C77-(10^3*INT($C77/(10^3)))))=0,_e_,_sp_),IF(G77&lt;100,"",_sp_)))&amp;IF(G77=1,INDEX(Sng,1,2),IF(G77&lt;100,"",IF(G77=100,OCem,INDEX(Cem,1,TRUNC(G77/100)))))&amp;IF(MOD(G77,100)=0,"",IF(G77=1,"",IF(OR(MOD(G77,100)&gt;=20,MOD(G77,100)=10),IF(OR(G77&gt;100,AND($C77&gt;10^6,TRUNC(($C77-(10^3*INT($C77/(10^3)))))=0)),_e_,IF($C77&gt;10^6,_sp_,"")),"")))&amp;IF(MOD(G77,100)=0,"",IF(G77=1,"",IF(OR(MOD(G77,100)&gt;=20,MOD(G77,100)=10),INDEX(Dez,1,TRUNC(MOD(G77,100)/10)),"")))&amp;IF(MOD(G77,100)=0,"",IF(G77=1,"",IF(MOD(MOD(G77,100),10)&lt;&gt;0,IF(OR(G77&gt;20,AND($C77&gt;10^6,TRUNC(($C77-(10^3*INT($C77/(10^3)))))=0)),_e_,IF($C77&gt;10^6,_sp_,"")),"")))&amp;IF(G77=0,"",IF(G77=1,"",IF(MOD(MOD(G77,100),10)=0,"",IF(MOD(G77,100)&lt;20,INDEX(Sml,1,MOD(G77,100)),INDEX(Sml,1,MOD(MOD(G77,100),10)))))) &amp; IF(G77&lt;=1,"",INDEX(Plu,1,2))</f>
        <v>#REF!</v>
      </c>
      <c r="M77" t="e">
        <f>IF($C77&lt;10^3,"",IF(OR(H77=1,AND(H77&gt;=100,MOD(H77,100)=0)),IF(TRUNC(($C77-(10^0*INT($C77/(10^0)))))=0,_e_,_sp_),IF(H77&lt;100,"",_sp_)))&amp;IF(H77=1,INDEX(Sng,1,1),IF(H77&lt;100,"",IF(H77=100,OCem,INDEX(Cem,1,TRUNC(H77/100)))))&amp;IF(MOD(H77,100)=0,"",IF(H77=1,"",IF(OR(MOD(H77,100)&gt;=20,MOD(H77,100)=10),IF(OR(H77&gt;100,AND($C77&gt;10^3,TRUNC(($C77-(10^0*INT($C77/(10^0)))))=0)),_e_,IF($C77&gt;10^3,_sp_,"")),"")))&amp;IF(MOD(H77,100)=0,"",IF(H77=1,"",IF(OR(MOD(H77,100)&gt;=20,MOD(H77,100)=10),INDEX(Dez,1,TRUNC(MOD(H77,100)/10)),"")))&amp;IF(MOD(H77,100)=0,"",IF(H77=1,"",IF(MOD(MOD(H77,100),10)&lt;&gt;0,IF(OR(H77&gt;20,AND($C77&gt;10^3,TRUNC(($C77-(10^0*INT($C77/(10^0)))))=0)),_e_,IF($C77&gt;10^3,_sp_,"")),"")))&amp;IF(H77=0,"",IF(H77=1,"",IF(MOD(MOD(H77,100),10)=0,"",IF(MOD(H77,100)&lt;20,INDEX(Sml,1,MOD(H77,100)),INDEX(Sml,1,MOD(MOD(H77,100),10)))))) &amp; IF(H77&lt;=1,"",INDEX(Plu,1,1))</f>
        <v>#REF!</v>
      </c>
      <c r="N77" t="e">
        <f>IF($C77&lt;1,"",IF(TRUNC($C77)=1," real",IF(AND($C77&gt;=10^6,TRUNC($C77-10^6*INT($C77/10^6))=0)," de","") &amp; " reais"))</f>
        <v>#REF!</v>
      </c>
      <c r="O77" t="e">
        <f>IF((ROUND($C77-TRUNC($C77),2)*100)=0,"",IF($C77&gt;=1,_e_,"") &amp; IF((ROUND($C77-TRUNC($C77),2)*100)=1,"um centavo",IF((ROUND($C77-TRUNC($C77),2)*100)&gt;=20,INDEX(Dez,1,TRUNC((ROUND($C77-TRUNC($C77),2)*100)/10)) &amp; IF(MOD((ROUND($C77-TRUNC($C77),2)*100),10)&lt;&gt;0,_e_ &amp; INDEX(Sml,1,MOD((ROUND($C77-TRUNC($C77),2)*100),10)),""),INDEX(Sml,1,(ROUND($C77-TRUNC($C77),2)*100))) &amp; " centavos"))</f>
        <v>#REF!</v>
      </c>
      <c r="P77" t="e">
        <f>I77&amp;J77&amp;K77&amp;L77&amp;M77&amp;N77&amp;O77</f>
        <v>#REF!</v>
      </c>
    </row>
    <row r="80" spans="3:16" ht="13.5" thickBot="1"/>
    <row r="81" spans="3:16" ht="13.5" thickBot="1">
      <c r="D81" s="558" t="s">
        <v>297</v>
      </c>
      <c r="E81" s="559"/>
      <c r="F81" s="559"/>
      <c r="G81" s="559"/>
      <c r="H81" s="560"/>
      <c r="I81" s="558" t="s">
        <v>298</v>
      </c>
      <c r="J81" s="559"/>
      <c r="K81" s="559"/>
      <c r="L81" s="559"/>
      <c r="M81" s="560"/>
      <c r="N81" s="561" t="s">
        <v>299</v>
      </c>
      <c r="O81" s="561" t="s">
        <v>300</v>
      </c>
      <c r="P81" s="561" t="s">
        <v>301</v>
      </c>
    </row>
    <row r="82" spans="3:16" ht="26.25" thickBot="1">
      <c r="C82" s="553" t="s">
        <v>302</v>
      </c>
      <c r="D82" s="554" t="s">
        <v>303</v>
      </c>
      <c r="E82" s="555" t="s">
        <v>304</v>
      </c>
      <c r="F82" s="555" t="s">
        <v>305</v>
      </c>
      <c r="G82" s="555" t="s">
        <v>306</v>
      </c>
      <c r="H82" s="556" t="s">
        <v>307</v>
      </c>
      <c r="I82" s="554" t="s">
        <v>303</v>
      </c>
      <c r="J82" s="555" t="s">
        <v>304</v>
      </c>
      <c r="K82" s="555" t="s">
        <v>305</v>
      </c>
      <c r="L82" s="555" t="s">
        <v>306</v>
      </c>
      <c r="M82" s="556" t="s">
        <v>307</v>
      </c>
      <c r="N82" s="562"/>
      <c r="O82" s="562"/>
      <c r="P82" s="562"/>
    </row>
    <row r="83" spans="3:16">
      <c r="C83" s="557" t="e">
        <f>[3]PROPOSTA!#REF!</f>
        <v>#REF!</v>
      </c>
      <c r="D83" t="e">
        <f t="array" ref="D83:H83">TRUNC(($C83-((10^{15,12,9,6,3})*INT($C83/(10^{15,12,9,6,3}))))/10^{12,9,6,3,0})</f>
        <v>#REF!</v>
      </c>
      <c r="E83" t="e">
        <v>#REF!</v>
      </c>
      <c r="F83" t="e">
        <v>#REF!</v>
      </c>
      <c r="G83" t="e">
        <v>#REF!</v>
      </c>
      <c r="H83" t="e">
        <v>#REF!</v>
      </c>
      <c r="I83" t="e">
        <f>IF($C83&lt;10^15,"",IF(OR(D83=1,AND(D83&gt;=100,MOD(D83,100)=0)),IF(TRUNC(($C83-(10^12*INT($C83/(10^12)))))=0,_e_,_sp_),IF(D83&lt;100,"",_sp_)))&amp;IF(D83=1,INDEX(Sng,1,5),IF(D83&lt;100,"",IF(D83=100,OCem,INDEX(Cem,1,TRUNC(D83/100)))))&amp;IF(MOD(D83,100)=0,"",IF(D83=1,"",IF(OR(MOD(D83,100)&gt;=20,MOD(D83,100)=10),IF(OR(D83&gt;100,AND($C83&gt;10^15,TRUNC(($C83-(10^12*INT($C83/(10^12)))))=0)),_e_,IF($C83&gt;10^15,_sp_,"")),"")))&amp;IF(MOD(D83,100)=0,"",IF(D83=1,"",IF(OR(MOD(D83,100)&gt;=20,MOD(D83,100)=10),INDEX(Dez,1,TRUNC(MOD(D83,100)/10)),"")))&amp;IF(MOD(D83,100)=0,"",IF(D83=1,"",IF(MOD(MOD(D83,100),10)&lt;&gt;0,IF(OR(D83&gt;20,AND($C83&gt;10^15,TRUNC(($C83-(10^12*INT($C83/(10^12)))))=0)),_e_,IF($C83&gt;10^15,_sp_,"")),"")))&amp;IF(D83=0,"",IF(D83=1,"",IF(MOD(MOD(D83,100),10)=0,"",IF(MOD(D83,100)&lt;20,INDEX(Sml,1,MOD(D83,100)),INDEX(Sml,1,MOD(MOD(D83,100),10)))))) &amp; IF(D83&lt;=1,"",INDEX(Plu,1,5))</f>
        <v>#REF!</v>
      </c>
      <c r="J83" t="e">
        <f>IF($C83&lt;10^12,"",IF(OR(E83=1,AND(E83&gt;=100,MOD(E83,100)=0)),IF(TRUNC(($C83-(10^9*INT($C83/(10^9)))))=0,_e_,_sp_),IF(E83&lt;100,"",_sp_)))&amp;IF(E83=1,INDEX(Sng,1,4),IF(E83&lt;100,"",IF(E83=100,OCem,INDEX(Cem,1,TRUNC(E83/100)))))&amp;IF(MOD(E83,100)=0,"",IF(E83=1,"",IF(OR(MOD(E83,100)&gt;=20,MOD(E83,100)=10),IF(OR(E83&gt;100,AND($C83&gt;10^12,TRUNC(($C83-(10^9*INT($C83/(10^9)))))=0)),_e_,IF($C83&gt;10^12,_sp_,"")),"")))&amp;IF(MOD(E83,100)=0,"",IF(E83=1,"",IF(OR(MOD(E83,100)&gt;=20,MOD(E83,100)=10),INDEX(Dez,1,TRUNC(MOD(E83,100)/10)),"")))&amp;IF(MOD(E83,100)=0,"",IF(E83=1,"",IF(MOD(MOD(E83,100),10)&lt;&gt;0,IF(OR(E83&gt;20,AND($C83&gt;10^12,TRUNC(($C83-(10^9*INT($C83/(10^9)))))=0)),_e_,IF($C83&gt;10^12,_sp_,"")),"")))&amp;IF(E83=0,"",IF(E83=1,"",IF(MOD(MOD(E83,100),10)=0,"",IF(MOD(E83,100)&lt;20,INDEX(Sml,1,MOD(E83,100)),INDEX(Sml,1,MOD(MOD(E83,100),10)))))) &amp; IF(E83&lt;=1,"",INDEX(Plu,1,4))</f>
        <v>#REF!</v>
      </c>
      <c r="K83" t="e">
        <f>IF($C83&lt;10^9,"",IF(OR(F83=1,AND(F83&gt;=100,MOD(F83,100)=0)),IF(TRUNC(($C83-(10^6*INT($C83/(10^6)))))=0,_e_,_sp_),IF(F83&lt;100,"",_sp_)))&amp;IF(F83=1,INDEX(Sng,1,3),IF(F83&lt;100,"",IF(F83=100,OCem,INDEX(Cem,1,TRUNC(F83/100)))))&amp;IF(MOD(F83,100)=0,"",IF(F83=1,"",IF(OR(MOD(F83,100)&gt;=20,MOD(F83,100)=10),IF(OR(F83&gt;100,AND($C83&gt;10^9,TRUNC(($C83-(10^6*INT($C83/(10^6)))))=0)),_e_,IF($C83&gt;10^9,_sp_,"")),"")))&amp;IF(MOD(F83,100)=0,"",IF(F83=1,"",IF(OR(MOD(F83,100)&gt;=20,MOD(F83,100)=10),INDEX(Dez,1,TRUNC(MOD(F83,100)/10)),"")))&amp;IF(MOD(F83,100)=0,"",IF(F83=1,"",IF(MOD(MOD(F83,100),10)&lt;&gt;0,IF(OR(F83&gt;20,AND($C83&gt;10^9,TRUNC(($C83-(10^6*INT($C83/(10^6)))))=0)),_e_,IF($C83&gt;10^9,_sp_,"")),"")))&amp;IF(F83=0,"",IF(F83=1,"",IF(MOD(MOD(F83,100),10)=0,"",IF(MOD(F83,100)&lt;20,INDEX(Sml,1,MOD(F83,100)),INDEX(Sml,1,MOD(MOD(F83,100),10)))))) &amp; IF(F83&lt;=1,"",INDEX(Plu,1,3))</f>
        <v>#REF!</v>
      </c>
      <c r="L83" t="e">
        <f>IF($C83&lt;10^6,"",IF(OR(G83=1,AND(G83&gt;=100,MOD(G83,100)=0)),IF(TRUNC(($C83-(10^3*INT($C83/(10^3)))))=0,_e_,_sp_),IF(G83&lt;100,"",_sp_)))&amp;IF(G83=1,INDEX(Sng,1,2),IF(G83&lt;100,"",IF(G83=100,OCem,INDEX(Cem,1,TRUNC(G83/100)))))&amp;IF(MOD(G83,100)=0,"",IF(G83=1,"",IF(OR(MOD(G83,100)&gt;=20,MOD(G83,100)=10),IF(OR(G83&gt;100,AND($C83&gt;10^6,TRUNC(($C83-(10^3*INT($C83/(10^3)))))=0)),_e_,IF($C83&gt;10^6,_sp_,"")),"")))&amp;IF(MOD(G83,100)=0,"",IF(G83=1,"",IF(OR(MOD(G83,100)&gt;=20,MOD(G83,100)=10),INDEX(Dez,1,TRUNC(MOD(G83,100)/10)),"")))&amp;IF(MOD(G83,100)=0,"",IF(G83=1,"",IF(MOD(MOD(G83,100),10)&lt;&gt;0,IF(OR(G83&gt;20,AND($C83&gt;10^6,TRUNC(($C83-(10^3*INT($C83/(10^3)))))=0)),_e_,IF($C83&gt;10^6,_sp_,"")),"")))&amp;IF(G83=0,"",IF(G83=1,"",IF(MOD(MOD(G83,100),10)=0,"",IF(MOD(G83,100)&lt;20,INDEX(Sml,1,MOD(G83,100)),INDEX(Sml,1,MOD(MOD(G83,100),10)))))) &amp; IF(G83&lt;=1,"",INDEX(Plu,1,2))</f>
        <v>#REF!</v>
      </c>
      <c r="M83" t="e">
        <f>IF($C83&lt;10^3,"",IF(OR(H83=1,AND(H83&gt;=100,MOD(H83,100)=0)),IF(TRUNC(($C83-(10^0*INT($C83/(10^0)))))=0,_e_,_sp_),IF(H83&lt;100,"",_sp_)))&amp;IF(H83=1,INDEX(Sng,1,1),IF(H83&lt;100,"",IF(H83=100,OCem,INDEX(Cem,1,TRUNC(H83/100)))))&amp;IF(MOD(H83,100)=0,"",IF(H83=1,"",IF(OR(MOD(H83,100)&gt;=20,MOD(H83,100)=10),IF(OR(H83&gt;100,AND($C83&gt;10^3,TRUNC(($C83-(10^0*INT($C83/(10^0)))))=0)),_e_,IF($C83&gt;10^3,_sp_,"")),"")))&amp;IF(MOD(H83,100)=0,"",IF(H83=1,"",IF(OR(MOD(H83,100)&gt;=20,MOD(H83,100)=10),INDEX(Dez,1,TRUNC(MOD(H83,100)/10)),"")))&amp;IF(MOD(H83,100)=0,"",IF(H83=1,"",IF(MOD(MOD(H83,100),10)&lt;&gt;0,IF(OR(H83&gt;20,AND($C83&gt;10^3,TRUNC(($C83-(10^0*INT($C83/(10^0)))))=0)),_e_,IF($C83&gt;10^3,_sp_,"")),"")))&amp;IF(H83=0,"",IF(H83=1,"",IF(MOD(MOD(H83,100),10)=0,"",IF(MOD(H83,100)&lt;20,INDEX(Sml,1,MOD(H83,100)),INDEX(Sml,1,MOD(MOD(H83,100),10)))))) &amp; IF(H83&lt;=1,"",INDEX(Plu,1,1))</f>
        <v>#REF!</v>
      </c>
      <c r="N83" t="e">
        <f>IF($C83&lt;1,"",IF(TRUNC($C83)=1," real",IF(AND($C83&gt;=10^6,TRUNC($C83-10^6*INT($C83/10^6))=0)," de","") &amp; " reais"))</f>
        <v>#REF!</v>
      </c>
      <c r="O83" t="e">
        <f>IF((ROUND($C83-TRUNC($C83),2)*100)=0,"",IF($C83&gt;=1,_e_,"") &amp; IF((ROUND($C83-TRUNC($C83),2)*100)=1,"um centavo",IF((ROUND($C83-TRUNC($C83),2)*100)&gt;=20,INDEX(Dez,1,TRUNC((ROUND($C83-TRUNC($C83),2)*100)/10)) &amp; IF(MOD((ROUND($C83-TRUNC($C83),2)*100),10)&lt;&gt;0,_e_ &amp; INDEX(Sml,1,MOD((ROUND($C83-TRUNC($C83),2)*100),10)),""),INDEX(Sml,1,(ROUND($C83-TRUNC($C83),2)*100))) &amp; " centavos"))</f>
        <v>#REF!</v>
      </c>
      <c r="P83" t="e">
        <f>I83&amp;J83&amp;K83&amp;L83&amp;M83&amp;N83&amp;O83</f>
        <v>#REF!</v>
      </c>
    </row>
    <row r="86" spans="3:16" ht="13.5" thickBot="1"/>
    <row r="87" spans="3:16" ht="13.5" thickBot="1">
      <c r="D87" s="894" t="s">
        <v>297</v>
      </c>
      <c r="E87" s="895"/>
      <c r="F87" s="895"/>
      <c r="G87" s="895"/>
      <c r="H87" s="896"/>
      <c r="I87" s="894" t="s">
        <v>298</v>
      </c>
      <c r="J87" s="895"/>
      <c r="K87" s="895"/>
      <c r="L87" s="895"/>
      <c r="M87" s="896"/>
      <c r="N87" s="897" t="s">
        <v>299</v>
      </c>
      <c r="O87" s="897" t="s">
        <v>300</v>
      </c>
      <c r="P87" s="897" t="s">
        <v>301</v>
      </c>
    </row>
    <row r="88" spans="3:16" ht="26.25" thickBot="1">
      <c r="C88" s="553" t="s">
        <v>302</v>
      </c>
      <c r="D88" s="554" t="s">
        <v>303</v>
      </c>
      <c r="E88" s="555" t="s">
        <v>304</v>
      </c>
      <c r="F88" s="555" t="s">
        <v>305</v>
      </c>
      <c r="G88" s="555" t="s">
        <v>306</v>
      </c>
      <c r="H88" s="556" t="s">
        <v>307</v>
      </c>
      <c r="I88" s="554" t="s">
        <v>303</v>
      </c>
      <c r="J88" s="555" t="s">
        <v>304</v>
      </c>
      <c r="K88" s="555" t="s">
        <v>305</v>
      </c>
      <c r="L88" s="555" t="s">
        <v>306</v>
      </c>
      <c r="M88" s="556" t="s">
        <v>307</v>
      </c>
      <c r="N88" s="898"/>
      <c r="O88" s="898"/>
      <c r="P88" s="898"/>
    </row>
    <row r="89" spans="3:16">
      <c r="C89" s="557" t="e">
        <f>[3]PROPOSTA!#REF!</f>
        <v>#REF!</v>
      </c>
      <c r="D89" t="e">
        <f t="array" ref="D89:H89">TRUNC(($C89-((10^{15,12,9,6,3})*INT($C89/(10^{15,12,9,6,3}))))/10^{12,9,6,3,0})</f>
        <v>#REF!</v>
      </c>
      <c r="E89" t="e">
        <v>#REF!</v>
      </c>
      <c r="F89" t="e">
        <v>#REF!</v>
      </c>
      <c r="G89" t="e">
        <v>#REF!</v>
      </c>
      <c r="H89" t="e">
        <v>#REF!</v>
      </c>
      <c r="I89" t="e">
        <f>IF($C89&lt;10^15,"",IF(OR(D89=1,AND(D89&gt;=100,MOD(D89,100)=0)),IF(TRUNC(($C89-(10^12*INT($C89/(10^12)))))=0,_e_,_sp_),IF(D89&lt;100,"",_sp_)))&amp;IF(D89=1,INDEX(Sng,1,5),IF(D89&lt;100,"",IF(D89=100,OCem,INDEX(Cem,1,TRUNC(D89/100)))))&amp;IF(MOD(D89,100)=0,"",IF(D89=1,"",IF(OR(MOD(D89,100)&gt;=20,MOD(D89,100)=10),IF(OR(D89&gt;100,AND($C89&gt;10^15,TRUNC(($C89-(10^12*INT($C89/(10^12)))))=0)),_e_,IF($C89&gt;10^15,_sp_,"")),"")))&amp;IF(MOD(D89,100)=0,"",IF(D89=1,"",IF(OR(MOD(D89,100)&gt;=20,MOD(D89,100)=10),INDEX(Dez,1,TRUNC(MOD(D89,100)/10)),"")))&amp;IF(MOD(D89,100)=0,"",IF(D89=1,"",IF(MOD(MOD(D89,100),10)&lt;&gt;0,IF(OR(D89&gt;20,AND($C89&gt;10^15,TRUNC(($C89-(10^12*INT($C89/(10^12)))))=0)),_e_,IF($C89&gt;10^15,_sp_,"")),"")))&amp;IF(D89=0,"",IF(D89=1,"",IF(MOD(MOD(D89,100),10)=0,"",IF(MOD(D89,100)&lt;20,INDEX(Sml,1,MOD(D89,100)),INDEX(Sml,1,MOD(MOD(D89,100),10)))))) &amp; IF(D89&lt;=1,"",INDEX(Plu,1,5))</f>
        <v>#REF!</v>
      </c>
      <c r="J89" t="e">
        <f>IF($C89&lt;10^12,"",IF(OR(E89=1,AND(E89&gt;=100,MOD(E89,100)=0)),IF(TRUNC(($C89-(10^9*INT($C89/(10^9)))))=0,_e_,_sp_),IF(E89&lt;100,"",_sp_)))&amp;IF(E89=1,INDEX(Sng,1,4),IF(E89&lt;100,"",IF(E89=100,OCem,INDEX(Cem,1,TRUNC(E89/100)))))&amp;IF(MOD(E89,100)=0,"",IF(E89=1,"",IF(OR(MOD(E89,100)&gt;=20,MOD(E89,100)=10),IF(OR(E89&gt;100,AND($C89&gt;10^12,TRUNC(($C89-(10^9*INT($C89/(10^9)))))=0)),_e_,IF($C89&gt;10^12,_sp_,"")),"")))&amp;IF(MOD(E89,100)=0,"",IF(E89=1,"",IF(OR(MOD(E89,100)&gt;=20,MOD(E89,100)=10),INDEX(Dez,1,TRUNC(MOD(E89,100)/10)),"")))&amp;IF(MOD(E89,100)=0,"",IF(E89=1,"",IF(MOD(MOD(E89,100),10)&lt;&gt;0,IF(OR(E89&gt;20,AND($C89&gt;10^12,TRUNC(($C89-(10^9*INT($C89/(10^9)))))=0)),_e_,IF($C89&gt;10^12,_sp_,"")),"")))&amp;IF(E89=0,"",IF(E89=1,"",IF(MOD(MOD(E89,100),10)=0,"",IF(MOD(E89,100)&lt;20,INDEX(Sml,1,MOD(E89,100)),INDEX(Sml,1,MOD(MOD(E89,100),10)))))) &amp; IF(E89&lt;=1,"",INDEX(Plu,1,4))</f>
        <v>#REF!</v>
      </c>
      <c r="K89" t="e">
        <f>IF($C89&lt;10^9,"",IF(OR(F89=1,AND(F89&gt;=100,MOD(F89,100)=0)),IF(TRUNC(($C89-(10^6*INT($C89/(10^6)))))=0,_e_,_sp_),IF(F89&lt;100,"",_sp_)))&amp;IF(F89=1,INDEX(Sng,1,3),IF(F89&lt;100,"",IF(F89=100,OCem,INDEX(Cem,1,TRUNC(F89/100)))))&amp;IF(MOD(F89,100)=0,"",IF(F89=1,"",IF(OR(MOD(F89,100)&gt;=20,MOD(F89,100)=10),IF(OR(F89&gt;100,AND($C89&gt;10^9,TRUNC(($C89-(10^6*INT($C89/(10^6)))))=0)),_e_,IF($C89&gt;10^9,_sp_,"")),"")))&amp;IF(MOD(F89,100)=0,"",IF(F89=1,"",IF(OR(MOD(F89,100)&gt;=20,MOD(F89,100)=10),INDEX(Dez,1,TRUNC(MOD(F89,100)/10)),"")))&amp;IF(MOD(F89,100)=0,"",IF(F89=1,"",IF(MOD(MOD(F89,100),10)&lt;&gt;0,IF(OR(F89&gt;20,AND($C89&gt;10^9,TRUNC(($C89-(10^6*INT($C89/(10^6)))))=0)),_e_,IF($C89&gt;10^9,_sp_,"")),"")))&amp;IF(F89=0,"",IF(F89=1,"",IF(MOD(MOD(F89,100),10)=0,"",IF(MOD(F89,100)&lt;20,INDEX(Sml,1,MOD(F89,100)),INDEX(Sml,1,MOD(MOD(F89,100),10)))))) &amp; IF(F89&lt;=1,"",INDEX(Plu,1,3))</f>
        <v>#REF!</v>
      </c>
      <c r="L89" t="e">
        <f>IF($C89&lt;10^6,"",IF(OR(G89=1,AND(G89&gt;=100,MOD(G89,100)=0)),IF(TRUNC(($C89-(10^3*INT($C89/(10^3)))))=0,_e_,_sp_),IF(G89&lt;100,"",_sp_)))&amp;IF(G89=1,INDEX(Sng,1,2),IF(G89&lt;100,"",IF(G89=100,OCem,INDEX(Cem,1,TRUNC(G89/100)))))&amp;IF(MOD(G89,100)=0,"",IF(G89=1,"",IF(OR(MOD(G89,100)&gt;=20,MOD(G89,100)=10),IF(OR(G89&gt;100,AND($C89&gt;10^6,TRUNC(($C89-(10^3*INT($C89/(10^3)))))=0)),_e_,IF($C89&gt;10^6,_sp_,"")),"")))&amp;IF(MOD(G89,100)=0,"",IF(G89=1,"",IF(OR(MOD(G89,100)&gt;=20,MOD(G89,100)=10),INDEX(Dez,1,TRUNC(MOD(G89,100)/10)),"")))&amp;IF(MOD(G89,100)=0,"",IF(G89=1,"",IF(MOD(MOD(G89,100),10)&lt;&gt;0,IF(OR(G89&gt;20,AND($C89&gt;10^6,TRUNC(($C89-(10^3*INT($C89/(10^3)))))=0)),_e_,IF($C89&gt;10^6,_sp_,"")),"")))&amp;IF(G89=0,"",IF(G89=1,"",IF(MOD(MOD(G89,100),10)=0,"",IF(MOD(G89,100)&lt;20,INDEX(Sml,1,MOD(G89,100)),INDEX(Sml,1,MOD(MOD(G89,100),10)))))) &amp; IF(G89&lt;=1,"",INDEX(Plu,1,2))</f>
        <v>#REF!</v>
      </c>
      <c r="M89" t="e">
        <f>IF($C89&lt;10^3,"",IF(OR(H89=1,AND(H89&gt;=100,MOD(H89,100)=0)),IF(TRUNC(($C89-(10^0*INT($C89/(10^0)))))=0,_e_,_sp_),IF(H89&lt;100,"",_sp_)))&amp;IF(H89=1,INDEX(Sng,1,1),IF(H89&lt;100,"",IF(H89=100,OCem,INDEX(Cem,1,TRUNC(H89/100)))))&amp;IF(MOD(H89,100)=0,"",IF(H89=1,"",IF(OR(MOD(H89,100)&gt;=20,MOD(H89,100)=10),IF(OR(H89&gt;100,AND($C89&gt;10^3,TRUNC(($C89-(10^0*INT($C89/(10^0)))))=0)),_e_,IF($C89&gt;10^3,_sp_,"")),"")))&amp;IF(MOD(H89,100)=0,"",IF(H89=1,"",IF(OR(MOD(H89,100)&gt;=20,MOD(H89,100)=10),INDEX(Dez,1,TRUNC(MOD(H89,100)/10)),"")))&amp;IF(MOD(H89,100)=0,"",IF(H89=1,"",IF(MOD(MOD(H89,100),10)&lt;&gt;0,IF(OR(H89&gt;20,AND($C89&gt;10^3,TRUNC(($C89-(10^0*INT($C89/(10^0)))))=0)),_e_,IF($C89&gt;10^3,_sp_,"")),"")))&amp;IF(H89=0,"",IF(H89=1,"",IF(MOD(MOD(H89,100),10)=0,"",IF(MOD(H89,100)&lt;20,INDEX(Sml,1,MOD(H89,100)),INDEX(Sml,1,MOD(MOD(H89,100),10)))))) &amp; IF(H89&lt;=1,"",INDEX(Plu,1,1))</f>
        <v>#REF!</v>
      </c>
      <c r="N89" t="e">
        <f>IF($C89&lt;1,"",IF(TRUNC($C89)=1," real",IF(AND($C89&gt;=10^6,TRUNC($C89-10^6*INT($C89/10^6))=0)," de","") &amp; " reais"))</f>
        <v>#REF!</v>
      </c>
      <c r="O89" t="e">
        <f>IF((ROUND($C89-TRUNC($C89),2)*100)=0,"",IF($C89&gt;=1,_e_,"") &amp; IF((ROUND($C89-TRUNC($C89),2)*100)=1,"um centavo",IF((ROUND($C89-TRUNC($C89),2)*100)&gt;=20,INDEX(Dez,1,TRUNC((ROUND($C89-TRUNC($C89),2)*100)/10)) &amp; IF(MOD((ROUND($C89-TRUNC($C89),2)*100),10)&lt;&gt;0,_e_ &amp; INDEX(Sml,1,MOD((ROUND($C89-TRUNC($C89),2)*100),10)),""),INDEX(Sml,1,(ROUND($C89-TRUNC($C89),2)*100))) &amp; " centavos"))</f>
        <v>#REF!</v>
      </c>
      <c r="P89" t="e">
        <f>I89&amp;J89&amp;K89&amp;L89&amp;M89&amp;N89&amp;O89</f>
        <v>#REF!</v>
      </c>
    </row>
    <row r="92" spans="3:16" ht="13.5" thickBot="1"/>
    <row r="93" spans="3:16" ht="13.5" thickBot="1">
      <c r="D93" s="558" t="s">
        <v>297</v>
      </c>
      <c r="E93" s="559"/>
      <c r="F93" s="559"/>
      <c r="G93" s="559"/>
      <c r="H93" s="560"/>
      <c r="I93" s="558" t="s">
        <v>298</v>
      </c>
      <c r="J93" s="559"/>
      <c r="K93" s="559"/>
      <c r="L93" s="559"/>
      <c r="M93" s="560"/>
      <c r="N93" s="561" t="s">
        <v>299</v>
      </c>
      <c r="O93" s="561" t="s">
        <v>300</v>
      </c>
      <c r="P93" s="561" t="s">
        <v>301</v>
      </c>
    </row>
    <row r="94" spans="3:16" ht="26.25" thickBot="1">
      <c r="C94" s="553" t="s">
        <v>302</v>
      </c>
      <c r="D94" s="554" t="s">
        <v>303</v>
      </c>
      <c r="E94" s="555" t="s">
        <v>304</v>
      </c>
      <c r="F94" s="555" t="s">
        <v>305</v>
      </c>
      <c r="G94" s="555" t="s">
        <v>306</v>
      </c>
      <c r="H94" s="556" t="s">
        <v>307</v>
      </c>
      <c r="I94" s="554" t="s">
        <v>303</v>
      </c>
      <c r="J94" s="555" t="s">
        <v>304</v>
      </c>
      <c r="K94" s="555" t="s">
        <v>305</v>
      </c>
      <c r="L94" s="555" t="s">
        <v>306</v>
      </c>
      <c r="M94" s="556" t="s">
        <v>307</v>
      </c>
      <c r="N94" s="562"/>
      <c r="O94" s="562"/>
      <c r="P94" s="562"/>
    </row>
    <row r="95" spans="3:16">
      <c r="C95" s="557" t="e">
        <f>[3]PROPOSTA!#REF!</f>
        <v>#REF!</v>
      </c>
      <c r="D95" t="e">
        <f t="array" ref="D95:H95">TRUNC(($C95-((10^{15,12,9,6,3})*INT($C95/(10^{15,12,9,6,3}))))/10^{12,9,6,3,0})</f>
        <v>#REF!</v>
      </c>
      <c r="E95" t="e">
        <v>#REF!</v>
      </c>
      <c r="F95" t="e">
        <v>#REF!</v>
      </c>
      <c r="G95" t="e">
        <v>#REF!</v>
      </c>
      <c r="H95" t="e">
        <v>#REF!</v>
      </c>
      <c r="I95" t="e">
        <f>IF($C95&lt;10^15,"",IF(OR(D95=1,AND(D95&gt;=100,MOD(D95,100)=0)),IF(TRUNC(($C95-(10^12*INT($C95/(10^12)))))=0,_e_,_sp_),IF(D95&lt;100,"",_sp_)))&amp;IF(D95=1,INDEX(Sng,1,5),IF(D95&lt;100,"",IF(D95=100,OCem,INDEX(Cem,1,TRUNC(D95/100)))))&amp;IF(MOD(D95,100)=0,"",IF(D95=1,"",IF(OR(MOD(D95,100)&gt;=20,MOD(D95,100)=10),IF(OR(D95&gt;100,AND($C95&gt;10^15,TRUNC(($C95-(10^12*INT($C95/(10^12)))))=0)),_e_,IF($C95&gt;10^15,_sp_,"")),"")))&amp;IF(MOD(D95,100)=0,"",IF(D95=1,"",IF(OR(MOD(D95,100)&gt;=20,MOD(D95,100)=10),INDEX(Dez,1,TRUNC(MOD(D95,100)/10)),"")))&amp;IF(MOD(D95,100)=0,"",IF(D95=1,"",IF(MOD(MOD(D95,100),10)&lt;&gt;0,IF(OR(D95&gt;20,AND($C95&gt;10^15,TRUNC(($C95-(10^12*INT($C95/(10^12)))))=0)),_e_,IF($C95&gt;10^15,_sp_,"")),"")))&amp;IF(D95=0,"",IF(D95=1,"",IF(MOD(MOD(D95,100),10)=0,"",IF(MOD(D95,100)&lt;20,INDEX(Sml,1,MOD(D95,100)),INDEX(Sml,1,MOD(MOD(D95,100),10)))))) &amp; IF(D95&lt;=1,"",INDEX(Plu,1,5))</f>
        <v>#REF!</v>
      </c>
      <c r="J95" t="e">
        <f>IF($C95&lt;10^12,"",IF(OR(E95=1,AND(E95&gt;=100,MOD(E95,100)=0)),IF(TRUNC(($C95-(10^9*INT($C95/(10^9)))))=0,_e_,_sp_),IF(E95&lt;100,"",_sp_)))&amp;IF(E95=1,INDEX(Sng,1,4),IF(E95&lt;100,"",IF(E95=100,OCem,INDEX(Cem,1,TRUNC(E95/100)))))&amp;IF(MOD(E95,100)=0,"",IF(E95=1,"",IF(OR(MOD(E95,100)&gt;=20,MOD(E95,100)=10),IF(OR(E95&gt;100,AND($C95&gt;10^12,TRUNC(($C95-(10^9*INT($C95/(10^9)))))=0)),_e_,IF($C95&gt;10^12,_sp_,"")),"")))&amp;IF(MOD(E95,100)=0,"",IF(E95=1,"",IF(OR(MOD(E95,100)&gt;=20,MOD(E95,100)=10),INDEX(Dez,1,TRUNC(MOD(E95,100)/10)),"")))&amp;IF(MOD(E95,100)=0,"",IF(E95=1,"",IF(MOD(MOD(E95,100),10)&lt;&gt;0,IF(OR(E95&gt;20,AND($C95&gt;10^12,TRUNC(($C95-(10^9*INT($C95/(10^9)))))=0)),_e_,IF($C95&gt;10^12,_sp_,"")),"")))&amp;IF(E95=0,"",IF(E95=1,"",IF(MOD(MOD(E95,100),10)=0,"",IF(MOD(E95,100)&lt;20,INDEX(Sml,1,MOD(E95,100)),INDEX(Sml,1,MOD(MOD(E95,100),10)))))) &amp; IF(E95&lt;=1,"",INDEX(Plu,1,4))</f>
        <v>#REF!</v>
      </c>
      <c r="K95" t="e">
        <f>IF($C95&lt;10^9,"",IF(OR(F95=1,AND(F95&gt;=100,MOD(F95,100)=0)),IF(TRUNC(($C95-(10^6*INT($C95/(10^6)))))=0,_e_,_sp_),IF(F95&lt;100,"",_sp_)))&amp;IF(F95=1,INDEX(Sng,1,3),IF(F95&lt;100,"",IF(F95=100,OCem,INDEX(Cem,1,TRUNC(F95/100)))))&amp;IF(MOD(F95,100)=0,"",IF(F95=1,"",IF(OR(MOD(F95,100)&gt;=20,MOD(F95,100)=10),IF(OR(F95&gt;100,AND($C95&gt;10^9,TRUNC(($C95-(10^6*INT($C95/(10^6)))))=0)),_e_,IF($C95&gt;10^9,_sp_,"")),"")))&amp;IF(MOD(F95,100)=0,"",IF(F95=1,"",IF(OR(MOD(F95,100)&gt;=20,MOD(F95,100)=10),INDEX(Dez,1,TRUNC(MOD(F95,100)/10)),"")))&amp;IF(MOD(F95,100)=0,"",IF(F95=1,"",IF(MOD(MOD(F95,100),10)&lt;&gt;0,IF(OR(F95&gt;20,AND($C95&gt;10^9,TRUNC(($C95-(10^6*INT($C95/(10^6)))))=0)),_e_,IF($C95&gt;10^9,_sp_,"")),"")))&amp;IF(F95=0,"",IF(F95=1,"",IF(MOD(MOD(F95,100),10)=0,"",IF(MOD(F95,100)&lt;20,INDEX(Sml,1,MOD(F95,100)),INDEX(Sml,1,MOD(MOD(F95,100),10)))))) &amp; IF(F95&lt;=1,"",INDEX(Plu,1,3))</f>
        <v>#REF!</v>
      </c>
      <c r="L95" t="e">
        <f>IF($C95&lt;10^6,"",IF(OR(G95=1,AND(G95&gt;=100,MOD(G95,100)=0)),IF(TRUNC(($C95-(10^3*INT($C95/(10^3)))))=0,_e_,_sp_),IF(G95&lt;100,"",_sp_)))&amp;IF(G95=1,INDEX(Sng,1,2),IF(G95&lt;100,"",IF(G95=100,OCem,INDEX(Cem,1,TRUNC(G95/100)))))&amp;IF(MOD(G95,100)=0,"",IF(G95=1,"",IF(OR(MOD(G95,100)&gt;=20,MOD(G95,100)=10),IF(OR(G95&gt;100,AND($C95&gt;10^6,TRUNC(($C95-(10^3*INT($C95/(10^3)))))=0)),_e_,IF($C95&gt;10^6,_sp_,"")),"")))&amp;IF(MOD(G95,100)=0,"",IF(G95=1,"",IF(OR(MOD(G95,100)&gt;=20,MOD(G95,100)=10),INDEX(Dez,1,TRUNC(MOD(G95,100)/10)),"")))&amp;IF(MOD(G95,100)=0,"",IF(G95=1,"",IF(MOD(MOD(G95,100),10)&lt;&gt;0,IF(OR(G95&gt;20,AND($C95&gt;10^6,TRUNC(($C95-(10^3*INT($C95/(10^3)))))=0)),_e_,IF($C95&gt;10^6,_sp_,"")),"")))&amp;IF(G95=0,"",IF(G95=1,"",IF(MOD(MOD(G95,100),10)=0,"",IF(MOD(G95,100)&lt;20,INDEX(Sml,1,MOD(G95,100)),INDEX(Sml,1,MOD(MOD(G95,100),10)))))) &amp; IF(G95&lt;=1,"",INDEX(Plu,1,2))</f>
        <v>#REF!</v>
      </c>
      <c r="M95" t="e">
        <f>IF($C95&lt;10^3,"",IF(OR(H95=1,AND(H95&gt;=100,MOD(H95,100)=0)),IF(TRUNC(($C95-(10^0*INT($C95/(10^0)))))=0,_e_,_sp_),IF(H95&lt;100,"",_sp_)))&amp;IF(H95=1,INDEX(Sng,1,1),IF(H95&lt;100,"",IF(H95=100,OCem,INDEX(Cem,1,TRUNC(H95/100)))))&amp;IF(MOD(H95,100)=0,"",IF(H95=1,"",IF(OR(MOD(H95,100)&gt;=20,MOD(H95,100)=10),IF(OR(H95&gt;100,AND($C95&gt;10^3,TRUNC(($C95-(10^0*INT($C95/(10^0)))))=0)),_e_,IF($C95&gt;10^3,_sp_,"")),"")))&amp;IF(MOD(H95,100)=0,"",IF(H95=1,"",IF(OR(MOD(H95,100)&gt;=20,MOD(H95,100)=10),INDEX(Dez,1,TRUNC(MOD(H95,100)/10)),"")))&amp;IF(MOD(H95,100)=0,"",IF(H95=1,"",IF(MOD(MOD(H95,100),10)&lt;&gt;0,IF(OR(H95&gt;20,AND($C95&gt;10^3,TRUNC(($C95-(10^0*INT($C95/(10^0)))))=0)),_e_,IF($C95&gt;10^3,_sp_,"")),"")))&amp;IF(H95=0,"",IF(H95=1,"",IF(MOD(MOD(H95,100),10)=0,"",IF(MOD(H95,100)&lt;20,INDEX(Sml,1,MOD(H95,100)),INDEX(Sml,1,MOD(MOD(H95,100),10)))))) &amp; IF(H95&lt;=1,"",INDEX(Plu,1,1))</f>
        <v>#REF!</v>
      </c>
      <c r="N95" t="e">
        <f>IF($C95&lt;1,"",IF(TRUNC($C95)=1," real",IF(AND($C95&gt;=10^6,TRUNC($C95-10^6*INT($C95/10^6))=0)," de","") &amp; " reais"))</f>
        <v>#REF!</v>
      </c>
      <c r="O95" t="e">
        <f>IF((ROUND($C95-TRUNC($C95),2)*100)=0,"",IF($C95&gt;=1,_e_,"") &amp; IF((ROUND($C95-TRUNC($C95),2)*100)=1,"um centavo",IF((ROUND($C95-TRUNC($C95),2)*100)&gt;=20,INDEX(Dez,1,TRUNC((ROUND($C95-TRUNC($C95),2)*100)/10)) &amp; IF(MOD((ROUND($C95-TRUNC($C95),2)*100),10)&lt;&gt;0,_e_ &amp; INDEX(Sml,1,MOD((ROUND($C95-TRUNC($C95),2)*100),10)),""),INDEX(Sml,1,(ROUND($C95-TRUNC($C95),2)*100))) &amp; " centavos"))</f>
        <v>#REF!</v>
      </c>
      <c r="P95" t="e">
        <f>I95&amp;J95&amp;K95&amp;L95&amp;M95&amp;N95&amp;O95</f>
        <v>#REF!</v>
      </c>
    </row>
    <row r="98" spans="3:16" ht="13.5" thickBot="1"/>
    <row r="99" spans="3:16" ht="13.5" thickBot="1">
      <c r="D99" s="894" t="s">
        <v>297</v>
      </c>
      <c r="E99" s="895"/>
      <c r="F99" s="895"/>
      <c r="G99" s="895"/>
      <c r="H99" s="896"/>
      <c r="I99" s="894" t="s">
        <v>298</v>
      </c>
      <c r="J99" s="895"/>
      <c r="K99" s="895"/>
      <c r="L99" s="895"/>
      <c r="M99" s="896"/>
      <c r="N99" s="897" t="s">
        <v>299</v>
      </c>
      <c r="O99" s="897" t="s">
        <v>300</v>
      </c>
      <c r="P99" s="897" t="s">
        <v>301</v>
      </c>
    </row>
    <row r="100" spans="3:16" ht="26.25" thickBot="1">
      <c r="C100" s="553" t="s">
        <v>302</v>
      </c>
      <c r="D100" s="554" t="s">
        <v>303</v>
      </c>
      <c r="E100" s="555" t="s">
        <v>304</v>
      </c>
      <c r="F100" s="555" t="s">
        <v>305</v>
      </c>
      <c r="G100" s="555" t="s">
        <v>306</v>
      </c>
      <c r="H100" s="556" t="s">
        <v>307</v>
      </c>
      <c r="I100" s="554" t="s">
        <v>303</v>
      </c>
      <c r="J100" s="555" t="s">
        <v>304</v>
      </c>
      <c r="K100" s="555" t="s">
        <v>305</v>
      </c>
      <c r="L100" s="555" t="s">
        <v>306</v>
      </c>
      <c r="M100" s="556" t="s">
        <v>307</v>
      </c>
      <c r="N100" s="898"/>
      <c r="O100" s="898"/>
      <c r="P100" s="898"/>
    </row>
    <row r="101" spans="3:16">
      <c r="C101" s="557" t="e">
        <f>[3]PROPOSTA!#REF!</f>
        <v>#REF!</v>
      </c>
      <c r="D101" t="e">
        <f t="array" ref="D101:H101">TRUNC(($C101-((10^{15,12,9,6,3})*INT($C101/(10^{15,12,9,6,3}))))/10^{12,9,6,3,0})</f>
        <v>#REF!</v>
      </c>
      <c r="E101" t="e">
        <v>#REF!</v>
      </c>
      <c r="F101" t="e">
        <v>#REF!</v>
      </c>
      <c r="G101" t="e">
        <v>#REF!</v>
      </c>
      <c r="H101" t="e">
        <v>#REF!</v>
      </c>
      <c r="I101" t="e">
        <f>IF($C101&lt;10^15,"",IF(OR(D101=1,AND(D101&gt;=100,MOD(D101,100)=0)),IF(TRUNC(($C101-(10^12*INT($C101/(10^12)))))=0,_e_,_sp_),IF(D101&lt;100,"",_sp_)))&amp;IF(D101=1,INDEX(Sng,1,5),IF(D101&lt;100,"",IF(D101=100,OCem,INDEX(Cem,1,TRUNC(D101/100)))))&amp;IF(MOD(D101,100)=0,"",IF(D101=1,"",IF(OR(MOD(D101,100)&gt;=20,MOD(D101,100)=10),IF(OR(D101&gt;100,AND($C101&gt;10^15,TRUNC(($C101-(10^12*INT($C101/(10^12)))))=0)),_e_,IF($C101&gt;10^15,_sp_,"")),"")))&amp;IF(MOD(D101,100)=0,"",IF(D101=1,"",IF(OR(MOD(D101,100)&gt;=20,MOD(D101,100)=10),INDEX(Dez,1,TRUNC(MOD(D101,100)/10)),"")))&amp;IF(MOD(D101,100)=0,"",IF(D101=1,"",IF(MOD(MOD(D101,100),10)&lt;&gt;0,IF(OR(D101&gt;20,AND($C101&gt;10^15,TRUNC(($C101-(10^12*INT($C101/(10^12)))))=0)),_e_,IF($C101&gt;10^15,_sp_,"")),"")))&amp;IF(D101=0,"",IF(D101=1,"",IF(MOD(MOD(D101,100),10)=0,"",IF(MOD(D101,100)&lt;20,INDEX(Sml,1,MOD(D101,100)),INDEX(Sml,1,MOD(MOD(D101,100),10)))))) &amp; IF(D101&lt;=1,"",INDEX(Plu,1,5))</f>
        <v>#REF!</v>
      </c>
      <c r="J101" t="e">
        <f>IF($C101&lt;10^12,"",IF(OR(E101=1,AND(E101&gt;=100,MOD(E101,100)=0)),IF(TRUNC(($C101-(10^9*INT($C101/(10^9)))))=0,_e_,_sp_),IF(E101&lt;100,"",_sp_)))&amp;IF(E101=1,INDEX(Sng,1,4),IF(E101&lt;100,"",IF(E101=100,OCem,INDEX(Cem,1,TRUNC(E101/100)))))&amp;IF(MOD(E101,100)=0,"",IF(E101=1,"",IF(OR(MOD(E101,100)&gt;=20,MOD(E101,100)=10),IF(OR(E101&gt;100,AND($C101&gt;10^12,TRUNC(($C101-(10^9*INT($C101/(10^9)))))=0)),_e_,IF($C101&gt;10^12,_sp_,"")),"")))&amp;IF(MOD(E101,100)=0,"",IF(E101=1,"",IF(OR(MOD(E101,100)&gt;=20,MOD(E101,100)=10),INDEX(Dez,1,TRUNC(MOD(E101,100)/10)),"")))&amp;IF(MOD(E101,100)=0,"",IF(E101=1,"",IF(MOD(MOD(E101,100),10)&lt;&gt;0,IF(OR(E101&gt;20,AND($C101&gt;10^12,TRUNC(($C101-(10^9*INT($C101/(10^9)))))=0)),_e_,IF($C101&gt;10^12,_sp_,"")),"")))&amp;IF(E101=0,"",IF(E101=1,"",IF(MOD(MOD(E101,100),10)=0,"",IF(MOD(E101,100)&lt;20,INDEX(Sml,1,MOD(E101,100)),INDEX(Sml,1,MOD(MOD(E101,100),10)))))) &amp; IF(E101&lt;=1,"",INDEX(Plu,1,4))</f>
        <v>#REF!</v>
      </c>
      <c r="K101" t="e">
        <f>IF($C101&lt;10^9,"",IF(OR(F101=1,AND(F101&gt;=100,MOD(F101,100)=0)),IF(TRUNC(($C101-(10^6*INT($C101/(10^6)))))=0,_e_,_sp_),IF(F101&lt;100,"",_sp_)))&amp;IF(F101=1,INDEX(Sng,1,3),IF(F101&lt;100,"",IF(F101=100,OCem,INDEX(Cem,1,TRUNC(F101/100)))))&amp;IF(MOD(F101,100)=0,"",IF(F101=1,"",IF(OR(MOD(F101,100)&gt;=20,MOD(F101,100)=10),IF(OR(F101&gt;100,AND($C101&gt;10^9,TRUNC(($C101-(10^6*INT($C101/(10^6)))))=0)),_e_,IF($C101&gt;10^9,_sp_,"")),"")))&amp;IF(MOD(F101,100)=0,"",IF(F101=1,"",IF(OR(MOD(F101,100)&gt;=20,MOD(F101,100)=10),INDEX(Dez,1,TRUNC(MOD(F101,100)/10)),"")))&amp;IF(MOD(F101,100)=0,"",IF(F101=1,"",IF(MOD(MOD(F101,100),10)&lt;&gt;0,IF(OR(F101&gt;20,AND($C101&gt;10^9,TRUNC(($C101-(10^6*INT($C101/(10^6)))))=0)),_e_,IF($C101&gt;10^9,_sp_,"")),"")))&amp;IF(F101=0,"",IF(F101=1,"",IF(MOD(MOD(F101,100),10)=0,"",IF(MOD(F101,100)&lt;20,INDEX(Sml,1,MOD(F101,100)),INDEX(Sml,1,MOD(MOD(F101,100),10)))))) &amp; IF(F101&lt;=1,"",INDEX(Plu,1,3))</f>
        <v>#REF!</v>
      </c>
      <c r="L101" t="e">
        <f>IF($C101&lt;10^6,"",IF(OR(G101=1,AND(G101&gt;=100,MOD(G101,100)=0)),IF(TRUNC(($C101-(10^3*INT($C101/(10^3)))))=0,_e_,_sp_),IF(G101&lt;100,"",_sp_)))&amp;IF(G101=1,INDEX(Sng,1,2),IF(G101&lt;100,"",IF(G101=100,OCem,INDEX(Cem,1,TRUNC(G101/100)))))&amp;IF(MOD(G101,100)=0,"",IF(G101=1,"",IF(OR(MOD(G101,100)&gt;=20,MOD(G101,100)=10),IF(OR(G101&gt;100,AND($C101&gt;10^6,TRUNC(($C101-(10^3*INT($C101/(10^3)))))=0)),_e_,IF($C101&gt;10^6,_sp_,"")),"")))&amp;IF(MOD(G101,100)=0,"",IF(G101=1,"",IF(OR(MOD(G101,100)&gt;=20,MOD(G101,100)=10),INDEX(Dez,1,TRUNC(MOD(G101,100)/10)),"")))&amp;IF(MOD(G101,100)=0,"",IF(G101=1,"",IF(MOD(MOD(G101,100),10)&lt;&gt;0,IF(OR(G101&gt;20,AND($C101&gt;10^6,TRUNC(($C101-(10^3*INT($C101/(10^3)))))=0)),_e_,IF($C101&gt;10^6,_sp_,"")),"")))&amp;IF(G101=0,"",IF(G101=1,"",IF(MOD(MOD(G101,100),10)=0,"",IF(MOD(G101,100)&lt;20,INDEX(Sml,1,MOD(G101,100)),INDEX(Sml,1,MOD(MOD(G101,100),10)))))) &amp; IF(G101&lt;=1,"",INDEX(Plu,1,2))</f>
        <v>#REF!</v>
      </c>
      <c r="M101" t="e">
        <f>IF($C101&lt;10^3,"",IF(OR(H101=1,AND(H101&gt;=100,MOD(H101,100)=0)),IF(TRUNC(($C101-(10^0*INT($C101/(10^0)))))=0,_e_,_sp_),IF(H101&lt;100,"",_sp_)))&amp;IF(H101=1,INDEX(Sng,1,1),IF(H101&lt;100,"",IF(H101=100,OCem,INDEX(Cem,1,TRUNC(H101/100)))))&amp;IF(MOD(H101,100)=0,"",IF(H101=1,"",IF(OR(MOD(H101,100)&gt;=20,MOD(H101,100)=10),IF(OR(H101&gt;100,AND($C101&gt;10^3,TRUNC(($C101-(10^0*INT($C101/(10^0)))))=0)),_e_,IF($C101&gt;10^3,_sp_,"")),"")))&amp;IF(MOD(H101,100)=0,"",IF(H101=1,"",IF(OR(MOD(H101,100)&gt;=20,MOD(H101,100)=10),INDEX(Dez,1,TRUNC(MOD(H101,100)/10)),"")))&amp;IF(MOD(H101,100)=0,"",IF(H101=1,"",IF(MOD(MOD(H101,100),10)&lt;&gt;0,IF(OR(H101&gt;20,AND($C101&gt;10^3,TRUNC(($C101-(10^0*INT($C101/(10^0)))))=0)),_e_,IF($C101&gt;10^3,_sp_,"")),"")))&amp;IF(H101=0,"",IF(H101=1,"",IF(MOD(MOD(H101,100),10)=0,"",IF(MOD(H101,100)&lt;20,INDEX(Sml,1,MOD(H101,100)),INDEX(Sml,1,MOD(MOD(H101,100),10)))))) &amp; IF(H101&lt;=1,"",INDEX(Plu,1,1))</f>
        <v>#REF!</v>
      </c>
      <c r="N101" t="e">
        <f>IF($C101&lt;1,"",IF(TRUNC($C101)=1," real",IF(AND($C101&gt;=10^6,TRUNC($C101-10^6*INT($C101/10^6))=0)," de","") &amp; " reais"))</f>
        <v>#REF!</v>
      </c>
      <c r="O101" t="e">
        <f>IF((ROUND($C101-TRUNC($C101),2)*100)=0,"",IF($C101&gt;=1,_e_,"") &amp; IF((ROUND($C101-TRUNC($C101),2)*100)=1,"um centavo",IF((ROUND($C101-TRUNC($C101),2)*100)&gt;=20,INDEX(Dez,1,TRUNC((ROUND($C101-TRUNC($C101),2)*100)/10)) &amp; IF(MOD((ROUND($C101-TRUNC($C101),2)*100),10)&lt;&gt;0,_e_ &amp; INDEX(Sml,1,MOD((ROUND($C101-TRUNC($C101),2)*100),10)),""),INDEX(Sml,1,(ROUND($C101-TRUNC($C101),2)*100))) &amp; " centavos"))</f>
        <v>#REF!</v>
      </c>
      <c r="P101" t="e">
        <f>I101&amp;J101&amp;K101&amp;L101&amp;M101&amp;N101&amp;O101</f>
        <v>#REF!</v>
      </c>
    </row>
    <row r="104" spans="3:16" ht="13.5" thickBot="1"/>
    <row r="105" spans="3:16" ht="13.5" thickBot="1">
      <c r="D105" s="558" t="s">
        <v>297</v>
      </c>
      <c r="E105" s="559"/>
      <c r="F105" s="559"/>
      <c r="G105" s="559"/>
      <c r="H105" s="560"/>
      <c r="I105" s="558" t="s">
        <v>298</v>
      </c>
      <c r="J105" s="559"/>
      <c r="K105" s="559"/>
      <c r="L105" s="559"/>
      <c r="M105" s="560"/>
      <c r="N105" s="561" t="s">
        <v>299</v>
      </c>
      <c r="O105" s="561" t="s">
        <v>300</v>
      </c>
      <c r="P105" s="561" t="s">
        <v>301</v>
      </c>
    </row>
    <row r="106" spans="3:16" ht="26.25" thickBot="1">
      <c r="C106" s="553" t="s">
        <v>302</v>
      </c>
      <c r="D106" s="554" t="s">
        <v>303</v>
      </c>
      <c r="E106" s="555" t="s">
        <v>304</v>
      </c>
      <c r="F106" s="555" t="s">
        <v>305</v>
      </c>
      <c r="G106" s="555" t="s">
        <v>306</v>
      </c>
      <c r="H106" s="556" t="s">
        <v>307</v>
      </c>
      <c r="I106" s="554" t="s">
        <v>303</v>
      </c>
      <c r="J106" s="555" t="s">
        <v>304</v>
      </c>
      <c r="K106" s="555" t="s">
        <v>305</v>
      </c>
      <c r="L106" s="555" t="s">
        <v>306</v>
      </c>
      <c r="M106" s="556" t="s">
        <v>307</v>
      </c>
      <c r="N106" s="562"/>
      <c r="O106" s="562"/>
      <c r="P106" s="562"/>
    </row>
    <row r="107" spans="3:16">
      <c r="C107" s="557" t="e">
        <f>[3]PROPOSTA!#REF!</f>
        <v>#REF!</v>
      </c>
      <c r="D107" t="e">
        <f t="array" ref="D107:H107">TRUNC(($C107-((10^{15,12,9,6,3})*INT($C107/(10^{15,12,9,6,3}))))/10^{12,9,6,3,0})</f>
        <v>#REF!</v>
      </c>
      <c r="E107" t="e">
        <v>#REF!</v>
      </c>
      <c r="F107" t="e">
        <v>#REF!</v>
      </c>
      <c r="G107" t="e">
        <v>#REF!</v>
      </c>
      <c r="H107" t="e">
        <v>#REF!</v>
      </c>
      <c r="I107" t="e">
        <f>IF($C107&lt;10^15,"",IF(OR(D107=1,AND(D107&gt;=100,MOD(D107,100)=0)),IF(TRUNC(($C107-(10^12*INT($C107/(10^12)))))=0,_e_,_sp_),IF(D107&lt;100,"",_sp_)))&amp;IF(D107=1,INDEX(Sng,1,5),IF(D107&lt;100,"",IF(D107=100,OCem,INDEX(Cem,1,TRUNC(D107/100)))))&amp;IF(MOD(D107,100)=0,"",IF(D107=1,"",IF(OR(MOD(D107,100)&gt;=20,MOD(D107,100)=10),IF(OR(D107&gt;100,AND($C107&gt;10^15,TRUNC(($C107-(10^12*INT($C107/(10^12)))))=0)),_e_,IF($C107&gt;10^15,_sp_,"")),"")))&amp;IF(MOD(D107,100)=0,"",IF(D107=1,"",IF(OR(MOD(D107,100)&gt;=20,MOD(D107,100)=10),INDEX(Dez,1,TRUNC(MOD(D107,100)/10)),"")))&amp;IF(MOD(D107,100)=0,"",IF(D107=1,"",IF(MOD(MOD(D107,100),10)&lt;&gt;0,IF(OR(D107&gt;20,AND($C107&gt;10^15,TRUNC(($C107-(10^12*INT($C107/(10^12)))))=0)),_e_,IF($C107&gt;10^15,_sp_,"")),"")))&amp;IF(D107=0,"",IF(D107=1,"",IF(MOD(MOD(D107,100),10)=0,"",IF(MOD(D107,100)&lt;20,INDEX(Sml,1,MOD(D107,100)),INDEX(Sml,1,MOD(MOD(D107,100),10)))))) &amp; IF(D107&lt;=1,"",INDEX(Plu,1,5))</f>
        <v>#REF!</v>
      </c>
      <c r="J107" t="e">
        <f>IF($C107&lt;10^12,"",IF(OR(E107=1,AND(E107&gt;=100,MOD(E107,100)=0)),IF(TRUNC(($C107-(10^9*INT($C107/(10^9)))))=0,_e_,_sp_),IF(E107&lt;100,"",_sp_)))&amp;IF(E107=1,INDEX(Sng,1,4),IF(E107&lt;100,"",IF(E107=100,OCem,INDEX(Cem,1,TRUNC(E107/100)))))&amp;IF(MOD(E107,100)=0,"",IF(E107=1,"",IF(OR(MOD(E107,100)&gt;=20,MOD(E107,100)=10),IF(OR(E107&gt;100,AND($C107&gt;10^12,TRUNC(($C107-(10^9*INT($C107/(10^9)))))=0)),_e_,IF($C107&gt;10^12,_sp_,"")),"")))&amp;IF(MOD(E107,100)=0,"",IF(E107=1,"",IF(OR(MOD(E107,100)&gt;=20,MOD(E107,100)=10),INDEX(Dez,1,TRUNC(MOD(E107,100)/10)),"")))&amp;IF(MOD(E107,100)=0,"",IF(E107=1,"",IF(MOD(MOD(E107,100),10)&lt;&gt;0,IF(OR(E107&gt;20,AND($C107&gt;10^12,TRUNC(($C107-(10^9*INT($C107/(10^9)))))=0)),_e_,IF($C107&gt;10^12,_sp_,"")),"")))&amp;IF(E107=0,"",IF(E107=1,"",IF(MOD(MOD(E107,100),10)=0,"",IF(MOD(E107,100)&lt;20,INDEX(Sml,1,MOD(E107,100)),INDEX(Sml,1,MOD(MOD(E107,100),10)))))) &amp; IF(E107&lt;=1,"",INDEX(Plu,1,4))</f>
        <v>#REF!</v>
      </c>
      <c r="K107" t="e">
        <f>IF($C107&lt;10^9,"",IF(OR(F107=1,AND(F107&gt;=100,MOD(F107,100)=0)),IF(TRUNC(($C107-(10^6*INT($C107/(10^6)))))=0,_e_,_sp_),IF(F107&lt;100,"",_sp_)))&amp;IF(F107=1,INDEX(Sng,1,3),IF(F107&lt;100,"",IF(F107=100,OCem,INDEX(Cem,1,TRUNC(F107/100)))))&amp;IF(MOD(F107,100)=0,"",IF(F107=1,"",IF(OR(MOD(F107,100)&gt;=20,MOD(F107,100)=10),IF(OR(F107&gt;100,AND($C107&gt;10^9,TRUNC(($C107-(10^6*INT($C107/(10^6)))))=0)),_e_,IF($C107&gt;10^9,_sp_,"")),"")))&amp;IF(MOD(F107,100)=0,"",IF(F107=1,"",IF(OR(MOD(F107,100)&gt;=20,MOD(F107,100)=10),INDEX(Dez,1,TRUNC(MOD(F107,100)/10)),"")))&amp;IF(MOD(F107,100)=0,"",IF(F107=1,"",IF(MOD(MOD(F107,100),10)&lt;&gt;0,IF(OR(F107&gt;20,AND($C107&gt;10^9,TRUNC(($C107-(10^6*INT($C107/(10^6)))))=0)),_e_,IF($C107&gt;10^9,_sp_,"")),"")))&amp;IF(F107=0,"",IF(F107=1,"",IF(MOD(MOD(F107,100),10)=0,"",IF(MOD(F107,100)&lt;20,INDEX(Sml,1,MOD(F107,100)),INDEX(Sml,1,MOD(MOD(F107,100),10)))))) &amp; IF(F107&lt;=1,"",INDEX(Plu,1,3))</f>
        <v>#REF!</v>
      </c>
      <c r="L107" t="e">
        <f>IF($C107&lt;10^6,"",IF(OR(G107=1,AND(G107&gt;=100,MOD(G107,100)=0)),IF(TRUNC(($C107-(10^3*INT($C107/(10^3)))))=0,_e_,_sp_),IF(G107&lt;100,"",_sp_)))&amp;IF(G107=1,INDEX(Sng,1,2),IF(G107&lt;100,"",IF(G107=100,OCem,INDEX(Cem,1,TRUNC(G107/100)))))&amp;IF(MOD(G107,100)=0,"",IF(G107=1,"",IF(OR(MOD(G107,100)&gt;=20,MOD(G107,100)=10),IF(OR(G107&gt;100,AND($C107&gt;10^6,TRUNC(($C107-(10^3*INT($C107/(10^3)))))=0)),_e_,IF($C107&gt;10^6,_sp_,"")),"")))&amp;IF(MOD(G107,100)=0,"",IF(G107=1,"",IF(OR(MOD(G107,100)&gt;=20,MOD(G107,100)=10),INDEX(Dez,1,TRUNC(MOD(G107,100)/10)),"")))&amp;IF(MOD(G107,100)=0,"",IF(G107=1,"",IF(MOD(MOD(G107,100),10)&lt;&gt;0,IF(OR(G107&gt;20,AND($C107&gt;10^6,TRUNC(($C107-(10^3*INT($C107/(10^3)))))=0)),_e_,IF($C107&gt;10^6,_sp_,"")),"")))&amp;IF(G107=0,"",IF(G107=1,"",IF(MOD(MOD(G107,100),10)=0,"",IF(MOD(G107,100)&lt;20,INDEX(Sml,1,MOD(G107,100)),INDEX(Sml,1,MOD(MOD(G107,100),10)))))) &amp; IF(G107&lt;=1,"",INDEX(Plu,1,2))</f>
        <v>#REF!</v>
      </c>
      <c r="M107" t="e">
        <f>IF($C107&lt;10^3,"",IF(OR(H107=1,AND(H107&gt;=100,MOD(H107,100)=0)),IF(TRUNC(($C107-(10^0*INT($C107/(10^0)))))=0,_e_,_sp_),IF(H107&lt;100,"",_sp_)))&amp;IF(H107=1,INDEX(Sng,1,1),IF(H107&lt;100,"",IF(H107=100,OCem,INDEX(Cem,1,TRUNC(H107/100)))))&amp;IF(MOD(H107,100)=0,"",IF(H107=1,"",IF(OR(MOD(H107,100)&gt;=20,MOD(H107,100)=10),IF(OR(H107&gt;100,AND($C107&gt;10^3,TRUNC(($C107-(10^0*INT($C107/(10^0)))))=0)),_e_,IF($C107&gt;10^3,_sp_,"")),"")))&amp;IF(MOD(H107,100)=0,"",IF(H107=1,"",IF(OR(MOD(H107,100)&gt;=20,MOD(H107,100)=10),INDEX(Dez,1,TRUNC(MOD(H107,100)/10)),"")))&amp;IF(MOD(H107,100)=0,"",IF(H107=1,"",IF(MOD(MOD(H107,100),10)&lt;&gt;0,IF(OR(H107&gt;20,AND($C107&gt;10^3,TRUNC(($C107-(10^0*INT($C107/(10^0)))))=0)),_e_,IF($C107&gt;10^3,_sp_,"")),"")))&amp;IF(H107=0,"",IF(H107=1,"",IF(MOD(MOD(H107,100),10)=0,"",IF(MOD(H107,100)&lt;20,INDEX(Sml,1,MOD(H107,100)),INDEX(Sml,1,MOD(MOD(H107,100),10)))))) &amp; IF(H107&lt;=1,"",INDEX(Plu,1,1))</f>
        <v>#REF!</v>
      </c>
      <c r="N107" t="e">
        <f>IF($C107&lt;1,"",IF(TRUNC($C107)=1," real",IF(AND($C107&gt;=10^6,TRUNC($C107-10^6*INT($C107/10^6))=0)," de","") &amp; " reais"))</f>
        <v>#REF!</v>
      </c>
      <c r="O107" t="e">
        <f>IF((ROUND($C107-TRUNC($C107),2)*100)=0,"",IF($C107&gt;=1,_e_,"") &amp; IF((ROUND($C107-TRUNC($C107),2)*100)=1,"um centavo",IF((ROUND($C107-TRUNC($C107),2)*100)&gt;=20,INDEX(Dez,1,TRUNC((ROUND($C107-TRUNC($C107),2)*100)/10)) &amp; IF(MOD((ROUND($C107-TRUNC($C107),2)*100),10)&lt;&gt;0,_e_ &amp; INDEX(Sml,1,MOD((ROUND($C107-TRUNC($C107),2)*100),10)),""),INDEX(Sml,1,(ROUND($C107-TRUNC($C107),2)*100))) &amp; " centavos"))</f>
        <v>#REF!</v>
      </c>
      <c r="P107" t="e">
        <f>I107&amp;J107&amp;K107&amp;L107&amp;M107&amp;N107&amp;O107</f>
        <v>#REF!</v>
      </c>
    </row>
    <row r="111" spans="3:16" ht="13.5" thickBot="1"/>
    <row r="112" spans="3:16" ht="13.5" thickBot="1">
      <c r="D112" s="894" t="s">
        <v>297</v>
      </c>
      <c r="E112" s="895"/>
      <c r="F112" s="895"/>
      <c r="G112" s="895"/>
      <c r="H112" s="896"/>
      <c r="I112" s="894" t="s">
        <v>298</v>
      </c>
      <c r="J112" s="895"/>
      <c r="K112" s="895"/>
      <c r="L112" s="895"/>
      <c r="M112" s="896"/>
      <c r="N112" s="897" t="s">
        <v>299</v>
      </c>
      <c r="O112" s="897" t="s">
        <v>300</v>
      </c>
      <c r="P112" s="897" t="s">
        <v>301</v>
      </c>
    </row>
    <row r="113" spans="3:16" ht="26.25" thickBot="1">
      <c r="C113" s="553" t="s">
        <v>302</v>
      </c>
      <c r="D113" s="554" t="s">
        <v>303</v>
      </c>
      <c r="E113" s="555" t="s">
        <v>304</v>
      </c>
      <c r="F113" s="555" t="s">
        <v>305</v>
      </c>
      <c r="G113" s="555" t="s">
        <v>306</v>
      </c>
      <c r="H113" s="556" t="s">
        <v>307</v>
      </c>
      <c r="I113" s="554" t="s">
        <v>303</v>
      </c>
      <c r="J113" s="555" t="s">
        <v>304</v>
      </c>
      <c r="K113" s="555" t="s">
        <v>305</v>
      </c>
      <c r="L113" s="555" t="s">
        <v>306</v>
      </c>
      <c r="M113" s="556" t="s">
        <v>307</v>
      </c>
      <c r="N113" s="898"/>
      <c r="O113" s="898"/>
      <c r="P113" s="898"/>
    </row>
    <row r="114" spans="3:16">
      <c r="C114" s="557" t="e">
        <f>[3]PROPOSTA!#REF!</f>
        <v>#REF!</v>
      </c>
      <c r="D114" t="e">
        <f t="array" ref="D114:H114">TRUNC(($C114-((10^{15,12,9,6,3})*INT($C114/(10^{15,12,9,6,3}))))/10^{12,9,6,3,0})</f>
        <v>#REF!</v>
      </c>
      <c r="E114" t="e">
        <v>#REF!</v>
      </c>
      <c r="F114" t="e">
        <v>#REF!</v>
      </c>
      <c r="G114" t="e">
        <v>#REF!</v>
      </c>
      <c r="H114" t="e">
        <v>#REF!</v>
      </c>
      <c r="I114" t="e">
        <f>IF($C114&lt;10^15,"",IF(OR(D114=1,AND(D114&gt;=100,MOD(D114,100)=0)),IF(TRUNC(($C114-(10^12*INT($C114/(10^12)))))=0,_e_,_sp_),IF(D114&lt;100,"",_sp_)))&amp;IF(D114=1,INDEX(Sng,1,5),IF(D114&lt;100,"",IF(D114=100,OCem,INDEX(Cem,1,TRUNC(D114/100)))))&amp;IF(MOD(D114,100)=0,"",IF(D114=1,"",IF(OR(MOD(D114,100)&gt;=20,MOD(D114,100)=10),IF(OR(D114&gt;100,AND($C114&gt;10^15,TRUNC(($C114-(10^12*INT($C114/(10^12)))))=0)),_e_,IF($C114&gt;10^15,_sp_,"")),"")))&amp;IF(MOD(D114,100)=0,"",IF(D114=1,"",IF(OR(MOD(D114,100)&gt;=20,MOD(D114,100)=10),INDEX(Dez,1,TRUNC(MOD(D114,100)/10)),"")))&amp;IF(MOD(D114,100)=0,"",IF(D114=1,"",IF(MOD(MOD(D114,100),10)&lt;&gt;0,IF(OR(D114&gt;20,AND($C114&gt;10^15,TRUNC(($C114-(10^12*INT($C114/(10^12)))))=0)),_e_,IF($C114&gt;10^15,_sp_,"")),"")))&amp;IF(D114=0,"",IF(D114=1,"",IF(MOD(MOD(D114,100),10)=0,"",IF(MOD(D114,100)&lt;20,INDEX(Sml,1,MOD(D114,100)),INDEX(Sml,1,MOD(MOD(D114,100),10)))))) &amp; IF(D114&lt;=1,"",INDEX(Plu,1,5))</f>
        <v>#REF!</v>
      </c>
      <c r="J114" t="e">
        <f>IF($C114&lt;10^12,"",IF(OR(E114=1,AND(E114&gt;=100,MOD(E114,100)=0)),IF(TRUNC(($C114-(10^9*INT($C114/(10^9)))))=0,_e_,_sp_),IF(E114&lt;100,"",_sp_)))&amp;IF(E114=1,INDEX(Sng,1,4),IF(E114&lt;100,"",IF(E114=100,OCem,INDEX(Cem,1,TRUNC(E114/100)))))&amp;IF(MOD(E114,100)=0,"",IF(E114=1,"",IF(OR(MOD(E114,100)&gt;=20,MOD(E114,100)=10),IF(OR(E114&gt;100,AND($C114&gt;10^12,TRUNC(($C114-(10^9*INT($C114/(10^9)))))=0)),_e_,IF($C114&gt;10^12,_sp_,"")),"")))&amp;IF(MOD(E114,100)=0,"",IF(E114=1,"",IF(OR(MOD(E114,100)&gt;=20,MOD(E114,100)=10),INDEX(Dez,1,TRUNC(MOD(E114,100)/10)),"")))&amp;IF(MOD(E114,100)=0,"",IF(E114=1,"",IF(MOD(MOD(E114,100),10)&lt;&gt;0,IF(OR(E114&gt;20,AND($C114&gt;10^12,TRUNC(($C114-(10^9*INT($C114/(10^9)))))=0)),_e_,IF($C114&gt;10^12,_sp_,"")),"")))&amp;IF(E114=0,"",IF(E114=1,"",IF(MOD(MOD(E114,100),10)=0,"",IF(MOD(E114,100)&lt;20,INDEX(Sml,1,MOD(E114,100)),INDEX(Sml,1,MOD(MOD(E114,100),10)))))) &amp; IF(E114&lt;=1,"",INDEX(Plu,1,4))</f>
        <v>#REF!</v>
      </c>
      <c r="K114" t="e">
        <f>IF($C114&lt;10^9,"",IF(OR(F114=1,AND(F114&gt;=100,MOD(F114,100)=0)),IF(TRUNC(($C114-(10^6*INT($C114/(10^6)))))=0,_e_,_sp_),IF(F114&lt;100,"",_sp_)))&amp;IF(F114=1,INDEX(Sng,1,3),IF(F114&lt;100,"",IF(F114=100,OCem,INDEX(Cem,1,TRUNC(F114/100)))))&amp;IF(MOD(F114,100)=0,"",IF(F114=1,"",IF(OR(MOD(F114,100)&gt;=20,MOD(F114,100)=10),IF(OR(F114&gt;100,AND($C114&gt;10^9,TRUNC(($C114-(10^6*INT($C114/(10^6)))))=0)),_e_,IF($C114&gt;10^9,_sp_,"")),"")))&amp;IF(MOD(F114,100)=0,"",IF(F114=1,"",IF(OR(MOD(F114,100)&gt;=20,MOD(F114,100)=10),INDEX(Dez,1,TRUNC(MOD(F114,100)/10)),"")))&amp;IF(MOD(F114,100)=0,"",IF(F114=1,"",IF(MOD(MOD(F114,100),10)&lt;&gt;0,IF(OR(F114&gt;20,AND($C114&gt;10^9,TRUNC(($C114-(10^6*INT($C114/(10^6)))))=0)),_e_,IF($C114&gt;10^9,_sp_,"")),"")))&amp;IF(F114=0,"",IF(F114=1,"",IF(MOD(MOD(F114,100),10)=0,"",IF(MOD(F114,100)&lt;20,INDEX(Sml,1,MOD(F114,100)),INDEX(Sml,1,MOD(MOD(F114,100),10)))))) &amp; IF(F114&lt;=1,"",INDEX(Plu,1,3))</f>
        <v>#REF!</v>
      </c>
      <c r="L114" t="e">
        <f>IF($C114&lt;10^6,"",IF(OR(G114=1,AND(G114&gt;=100,MOD(G114,100)=0)),IF(TRUNC(($C114-(10^3*INT($C114/(10^3)))))=0,_e_,_sp_),IF(G114&lt;100,"",_sp_)))&amp;IF(G114=1,INDEX(Sng,1,2),IF(G114&lt;100,"",IF(G114=100,OCem,INDEX(Cem,1,TRUNC(G114/100)))))&amp;IF(MOD(G114,100)=0,"",IF(G114=1,"",IF(OR(MOD(G114,100)&gt;=20,MOD(G114,100)=10),IF(OR(G114&gt;100,AND($C114&gt;10^6,TRUNC(($C114-(10^3*INT($C114/(10^3)))))=0)),_e_,IF($C114&gt;10^6,_sp_,"")),"")))&amp;IF(MOD(G114,100)=0,"",IF(G114=1,"",IF(OR(MOD(G114,100)&gt;=20,MOD(G114,100)=10),INDEX(Dez,1,TRUNC(MOD(G114,100)/10)),"")))&amp;IF(MOD(G114,100)=0,"",IF(G114=1,"",IF(MOD(MOD(G114,100),10)&lt;&gt;0,IF(OR(G114&gt;20,AND($C114&gt;10^6,TRUNC(($C114-(10^3*INT($C114/(10^3)))))=0)),_e_,IF($C114&gt;10^6,_sp_,"")),"")))&amp;IF(G114=0,"",IF(G114=1,"",IF(MOD(MOD(G114,100),10)=0,"",IF(MOD(G114,100)&lt;20,INDEX(Sml,1,MOD(G114,100)),INDEX(Sml,1,MOD(MOD(G114,100),10)))))) &amp; IF(G114&lt;=1,"",INDEX(Plu,1,2))</f>
        <v>#REF!</v>
      </c>
      <c r="M114" t="e">
        <f>IF($C114&lt;10^3,"",IF(OR(H114=1,AND(H114&gt;=100,MOD(H114,100)=0)),IF(TRUNC(($C114-(10^0*INT($C114/(10^0)))))=0,_e_,_sp_),IF(H114&lt;100,"",_sp_)))&amp;IF(H114=1,INDEX(Sng,1,1),IF(H114&lt;100,"",IF(H114=100,OCem,INDEX(Cem,1,TRUNC(H114/100)))))&amp;IF(MOD(H114,100)=0,"",IF(H114=1,"",IF(OR(MOD(H114,100)&gt;=20,MOD(H114,100)=10),IF(OR(H114&gt;100,AND($C114&gt;10^3,TRUNC(($C114-(10^0*INT($C114/(10^0)))))=0)),_e_,IF($C114&gt;10^3,_sp_,"")),"")))&amp;IF(MOD(H114,100)=0,"",IF(H114=1,"",IF(OR(MOD(H114,100)&gt;=20,MOD(H114,100)=10),INDEX(Dez,1,TRUNC(MOD(H114,100)/10)),"")))&amp;IF(MOD(H114,100)=0,"",IF(H114=1,"",IF(MOD(MOD(H114,100),10)&lt;&gt;0,IF(OR(H114&gt;20,AND($C114&gt;10^3,TRUNC(($C114-(10^0*INT($C114/(10^0)))))=0)),_e_,IF($C114&gt;10^3,_sp_,"")),"")))&amp;IF(H114=0,"",IF(H114=1,"",IF(MOD(MOD(H114,100),10)=0,"",IF(MOD(H114,100)&lt;20,INDEX(Sml,1,MOD(H114,100)),INDEX(Sml,1,MOD(MOD(H114,100),10)))))) &amp; IF(H114&lt;=1,"",INDEX(Plu,1,1))</f>
        <v>#REF!</v>
      </c>
      <c r="N114" t="e">
        <f>IF($C114&lt;1,"",IF(TRUNC($C114)=1," real",IF(AND($C114&gt;=10^6,TRUNC($C114-10^6*INT($C114/10^6))=0)," de","") &amp; " reais"))</f>
        <v>#REF!</v>
      </c>
      <c r="O114" t="e">
        <f>IF((ROUND($C114-TRUNC($C114),2)*100)=0,"",IF($C114&gt;=1,_e_,"") &amp; IF((ROUND($C114-TRUNC($C114),2)*100)=1,"um centavo",IF((ROUND($C114-TRUNC($C114),2)*100)&gt;=20,INDEX(Dez,1,TRUNC((ROUND($C114-TRUNC($C114),2)*100)/10)) &amp; IF(MOD((ROUND($C114-TRUNC($C114),2)*100),10)&lt;&gt;0,_e_ &amp; INDEX(Sml,1,MOD((ROUND($C114-TRUNC($C114),2)*100),10)),""),INDEX(Sml,1,(ROUND($C114-TRUNC($C114),2)*100))) &amp; " centavos"))</f>
        <v>#REF!</v>
      </c>
      <c r="P114" t="e">
        <f>I114&amp;J114&amp;K114&amp;L114&amp;M114&amp;N114&amp;O114</f>
        <v>#REF!</v>
      </c>
    </row>
    <row r="117" spans="3:16" ht="13.5" thickBot="1"/>
    <row r="118" spans="3:16" ht="13.5" thickBot="1">
      <c r="D118" s="558" t="s">
        <v>297</v>
      </c>
      <c r="E118" s="559"/>
      <c r="F118" s="559"/>
      <c r="G118" s="559"/>
      <c r="H118" s="560"/>
      <c r="I118" s="558" t="s">
        <v>298</v>
      </c>
      <c r="J118" s="559"/>
      <c r="K118" s="559"/>
      <c r="L118" s="559"/>
      <c r="M118" s="560"/>
      <c r="N118" s="561" t="s">
        <v>299</v>
      </c>
      <c r="O118" s="561" t="s">
        <v>300</v>
      </c>
      <c r="P118" s="561" t="s">
        <v>301</v>
      </c>
    </row>
    <row r="119" spans="3:16" ht="26.25" thickBot="1">
      <c r="C119" s="553" t="s">
        <v>302</v>
      </c>
      <c r="D119" s="554" t="s">
        <v>303</v>
      </c>
      <c r="E119" s="555" t="s">
        <v>304</v>
      </c>
      <c r="F119" s="555" t="s">
        <v>305</v>
      </c>
      <c r="G119" s="555" t="s">
        <v>306</v>
      </c>
      <c r="H119" s="556" t="s">
        <v>307</v>
      </c>
      <c r="I119" s="554" t="s">
        <v>303</v>
      </c>
      <c r="J119" s="555" t="s">
        <v>304</v>
      </c>
      <c r="K119" s="555" t="s">
        <v>305</v>
      </c>
      <c r="L119" s="555" t="s">
        <v>306</v>
      </c>
      <c r="M119" s="556" t="s">
        <v>307</v>
      </c>
      <c r="N119" s="562"/>
      <c r="O119" s="562"/>
      <c r="P119" s="562"/>
    </row>
    <row r="120" spans="3:16">
      <c r="C120" s="557" t="e">
        <f>[3]PROPOSTA!#REF!</f>
        <v>#REF!</v>
      </c>
      <c r="D120" t="e">
        <f t="array" ref="D120:H120">TRUNC(($C120-((10^{15,12,9,6,3})*INT($C120/(10^{15,12,9,6,3}))))/10^{12,9,6,3,0})</f>
        <v>#REF!</v>
      </c>
      <c r="E120" t="e">
        <v>#REF!</v>
      </c>
      <c r="F120" t="e">
        <v>#REF!</v>
      </c>
      <c r="G120" t="e">
        <v>#REF!</v>
      </c>
      <c r="H120" t="e">
        <v>#REF!</v>
      </c>
      <c r="I120" t="e">
        <f>IF($C120&lt;10^15,"",IF(OR(D120=1,AND(D120&gt;=100,MOD(D120,100)=0)),IF(TRUNC(($C120-(10^12*INT($C120/(10^12)))))=0,_e_,_sp_),IF(D120&lt;100,"",_sp_)))&amp;IF(D120=1,INDEX(Sng,1,5),IF(D120&lt;100,"",IF(D120=100,OCem,INDEX(Cem,1,TRUNC(D120/100)))))&amp;IF(MOD(D120,100)=0,"",IF(D120=1,"",IF(OR(MOD(D120,100)&gt;=20,MOD(D120,100)=10),IF(OR(D120&gt;100,AND($C120&gt;10^15,TRUNC(($C120-(10^12*INT($C120/(10^12)))))=0)),_e_,IF($C120&gt;10^15,_sp_,"")),"")))&amp;IF(MOD(D120,100)=0,"",IF(D120=1,"",IF(OR(MOD(D120,100)&gt;=20,MOD(D120,100)=10),INDEX(Dez,1,TRUNC(MOD(D120,100)/10)),"")))&amp;IF(MOD(D120,100)=0,"",IF(D120=1,"",IF(MOD(MOD(D120,100),10)&lt;&gt;0,IF(OR(D120&gt;20,AND($C120&gt;10^15,TRUNC(($C120-(10^12*INT($C120/(10^12)))))=0)),_e_,IF($C120&gt;10^15,_sp_,"")),"")))&amp;IF(D120=0,"",IF(D120=1,"",IF(MOD(MOD(D120,100),10)=0,"",IF(MOD(D120,100)&lt;20,INDEX(Sml,1,MOD(D120,100)),INDEX(Sml,1,MOD(MOD(D120,100),10)))))) &amp; IF(D120&lt;=1,"",INDEX(Plu,1,5))</f>
        <v>#REF!</v>
      </c>
      <c r="J120" t="e">
        <f>IF($C120&lt;10^12,"",IF(OR(E120=1,AND(E120&gt;=100,MOD(E120,100)=0)),IF(TRUNC(($C120-(10^9*INT($C120/(10^9)))))=0,_e_,_sp_),IF(E120&lt;100,"",_sp_)))&amp;IF(E120=1,INDEX(Sng,1,4),IF(E120&lt;100,"",IF(E120=100,OCem,INDEX(Cem,1,TRUNC(E120/100)))))&amp;IF(MOD(E120,100)=0,"",IF(E120=1,"",IF(OR(MOD(E120,100)&gt;=20,MOD(E120,100)=10),IF(OR(E120&gt;100,AND($C120&gt;10^12,TRUNC(($C120-(10^9*INT($C120/(10^9)))))=0)),_e_,IF($C120&gt;10^12,_sp_,"")),"")))&amp;IF(MOD(E120,100)=0,"",IF(E120=1,"",IF(OR(MOD(E120,100)&gt;=20,MOD(E120,100)=10),INDEX(Dez,1,TRUNC(MOD(E120,100)/10)),"")))&amp;IF(MOD(E120,100)=0,"",IF(E120=1,"",IF(MOD(MOD(E120,100),10)&lt;&gt;0,IF(OR(E120&gt;20,AND($C120&gt;10^12,TRUNC(($C120-(10^9*INT($C120/(10^9)))))=0)),_e_,IF($C120&gt;10^12,_sp_,"")),"")))&amp;IF(E120=0,"",IF(E120=1,"",IF(MOD(MOD(E120,100),10)=0,"",IF(MOD(E120,100)&lt;20,INDEX(Sml,1,MOD(E120,100)),INDEX(Sml,1,MOD(MOD(E120,100),10)))))) &amp; IF(E120&lt;=1,"",INDEX(Plu,1,4))</f>
        <v>#REF!</v>
      </c>
      <c r="K120" t="e">
        <f>IF($C120&lt;10^9,"",IF(OR(F120=1,AND(F120&gt;=100,MOD(F120,100)=0)),IF(TRUNC(($C120-(10^6*INT($C120/(10^6)))))=0,_e_,_sp_),IF(F120&lt;100,"",_sp_)))&amp;IF(F120=1,INDEX(Sng,1,3),IF(F120&lt;100,"",IF(F120=100,OCem,INDEX(Cem,1,TRUNC(F120/100)))))&amp;IF(MOD(F120,100)=0,"",IF(F120=1,"",IF(OR(MOD(F120,100)&gt;=20,MOD(F120,100)=10),IF(OR(F120&gt;100,AND($C120&gt;10^9,TRUNC(($C120-(10^6*INT($C120/(10^6)))))=0)),_e_,IF($C120&gt;10^9,_sp_,"")),"")))&amp;IF(MOD(F120,100)=0,"",IF(F120=1,"",IF(OR(MOD(F120,100)&gt;=20,MOD(F120,100)=10),INDEX(Dez,1,TRUNC(MOD(F120,100)/10)),"")))&amp;IF(MOD(F120,100)=0,"",IF(F120=1,"",IF(MOD(MOD(F120,100),10)&lt;&gt;0,IF(OR(F120&gt;20,AND($C120&gt;10^9,TRUNC(($C120-(10^6*INT($C120/(10^6)))))=0)),_e_,IF($C120&gt;10^9,_sp_,"")),"")))&amp;IF(F120=0,"",IF(F120=1,"",IF(MOD(MOD(F120,100),10)=0,"",IF(MOD(F120,100)&lt;20,INDEX(Sml,1,MOD(F120,100)),INDEX(Sml,1,MOD(MOD(F120,100),10)))))) &amp; IF(F120&lt;=1,"",INDEX(Plu,1,3))</f>
        <v>#REF!</v>
      </c>
      <c r="L120" t="e">
        <f>IF($C120&lt;10^6,"",IF(OR(G120=1,AND(G120&gt;=100,MOD(G120,100)=0)),IF(TRUNC(($C120-(10^3*INT($C120/(10^3)))))=0,_e_,_sp_),IF(G120&lt;100,"",_sp_)))&amp;IF(G120=1,INDEX(Sng,1,2),IF(G120&lt;100,"",IF(G120=100,OCem,INDEX(Cem,1,TRUNC(G120/100)))))&amp;IF(MOD(G120,100)=0,"",IF(G120=1,"",IF(OR(MOD(G120,100)&gt;=20,MOD(G120,100)=10),IF(OR(G120&gt;100,AND($C120&gt;10^6,TRUNC(($C120-(10^3*INT($C120/(10^3)))))=0)),_e_,IF($C120&gt;10^6,_sp_,"")),"")))&amp;IF(MOD(G120,100)=0,"",IF(G120=1,"",IF(OR(MOD(G120,100)&gt;=20,MOD(G120,100)=10),INDEX(Dez,1,TRUNC(MOD(G120,100)/10)),"")))&amp;IF(MOD(G120,100)=0,"",IF(G120=1,"",IF(MOD(MOD(G120,100),10)&lt;&gt;0,IF(OR(G120&gt;20,AND($C120&gt;10^6,TRUNC(($C120-(10^3*INT($C120/(10^3)))))=0)),_e_,IF($C120&gt;10^6,_sp_,"")),"")))&amp;IF(G120=0,"",IF(G120=1,"",IF(MOD(MOD(G120,100),10)=0,"",IF(MOD(G120,100)&lt;20,INDEX(Sml,1,MOD(G120,100)),INDEX(Sml,1,MOD(MOD(G120,100),10)))))) &amp; IF(G120&lt;=1,"",INDEX(Plu,1,2))</f>
        <v>#REF!</v>
      </c>
      <c r="M120" t="e">
        <f>IF($C120&lt;10^3,"",IF(OR(H120=1,AND(H120&gt;=100,MOD(H120,100)=0)),IF(TRUNC(($C120-(10^0*INT($C120/(10^0)))))=0,_e_,_sp_),IF(H120&lt;100,"",_sp_)))&amp;IF(H120=1,INDEX(Sng,1,1),IF(H120&lt;100,"",IF(H120=100,OCem,INDEX(Cem,1,TRUNC(H120/100)))))&amp;IF(MOD(H120,100)=0,"",IF(H120=1,"",IF(OR(MOD(H120,100)&gt;=20,MOD(H120,100)=10),IF(OR(H120&gt;100,AND($C120&gt;10^3,TRUNC(($C120-(10^0*INT($C120/(10^0)))))=0)),_e_,IF($C120&gt;10^3,_sp_,"")),"")))&amp;IF(MOD(H120,100)=0,"",IF(H120=1,"",IF(OR(MOD(H120,100)&gt;=20,MOD(H120,100)=10),INDEX(Dez,1,TRUNC(MOD(H120,100)/10)),"")))&amp;IF(MOD(H120,100)=0,"",IF(H120=1,"",IF(MOD(MOD(H120,100),10)&lt;&gt;0,IF(OR(H120&gt;20,AND($C120&gt;10^3,TRUNC(($C120-(10^0*INT($C120/(10^0)))))=0)),_e_,IF($C120&gt;10^3,_sp_,"")),"")))&amp;IF(H120=0,"",IF(H120=1,"",IF(MOD(MOD(H120,100),10)=0,"",IF(MOD(H120,100)&lt;20,INDEX(Sml,1,MOD(H120,100)),INDEX(Sml,1,MOD(MOD(H120,100),10)))))) &amp; IF(H120&lt;=1,"",INDEX(Plu,1,1))</f>
        <v>#REF!</v>
      </c>
      <c r="N120" t="e">
        <f>IF($C120&lt;1,"",IF(TRUNC($C120)=1," real",IF(AND($C120&gt;=10^6,TRUNC($C120-10^6*INT($C120/10^6))=0)," de","") &amp; " reais"))</f>
        <v>#REF!</v>
      </c>
      <c r="O120" t="e">
        <f>IF((ROUND($C120-TRUNC($C120),2)*100)=0,"",IF($C120&gt;=1,_e_,"") &amp; IF((ROUND($C120-TRUNC($C120),2)*100)=1,"um centavo",IF((ROUND($C120-TRUNC($C120),2)*100)&gt;=20,INDEX(Dez,1,TRUNC((ROUND($C120-TRUNC($C120),2)*100)/10)) &amp; IF(MOD((ROUND($C120-TRUNC($C120),2)*100),10)&lt;&gt;0,_e_ &amp; INDEX(Sml,1,MOD((ROUND($C120-TRUNC($C120),2)*100),10)),""),INDEX(Sml,1,(ROUND($C120-TRUNC($C120),2)*100))) &amp; " centavos"))</f>
        <v>#REF!</v>
      </c>
      <c r="P120" t="e">
        <f>I120&amp;J120&amp;K120&amp;L120&amp;M120&amp;N120&amp;O120</f>
        <v>#REF!</v>
      </c>
    </row>
    <row r="122" spans="3:16" ht="13.5" thickBot="1"/>
    <row r="123" spans="3:16" ht="13.5" thickBot="1">
      <c r="D123" s="894" t="s">
        <v>297</v>
      </c>
      <c r="E123" s="895"/>
      <c r="F123" s="895"/>
      <c r="G123" s="895"/>
      <c r="H123" s="896"/>
      <c r="I123" s="894" t="s">
        <v>298</v>
      </c>
      <c r="J123" s="895"/>
      <c r="K123" s="895"/>
      <c r="L123" s="895"/>
      <c r="M123" s="896"/>
      <c r="N123" s="897" t="s">
        <v>299</v>
      </c>
      <c r="O123" s="897" t="s">
        <v>300</v>
      </c>
      <c r="P123" s="897" t="s">
        <v>301</v>
      </c>
    </row>
    <row r="124" spans="3:16" ht="26.25" thickBot="1">
      <c r="C124" s="553" t="s">
        <v>302</v>
      </c>
      <c r="D124" s="554" t="s">
        <v>303</v>
      </c>
      <c r="E124" s="555" t="s">
        <v>304</v>
      </c>
      <c r="F124" s="555" t="s">
        <v>305</v>
      </c>
      <c r="G124" s="555" t="s">
        <v>306</v>
      </c>
      <c r="H124" s="556" t="s">
        <v>307</v>
      </c>
      <c r="I124" s="554" t="s">
        <v>303</v>
      </c>
      <c r="J124" s="555" t="s">
        <v>304</v>
      </c>
      <c r="K124" s="555" t="s">
        <v>305</v>
      </c>
      <c r="L124" s="555" t="s">
        <v>306</v>
      </c>
      <c r="M124" s="556" t="s">
        <v>307</v>
      </c>
      <c r="N124" s="898"/>
      <c r="O124" s="898"/>
      <c r="P124" s="898"/>
    </row>
    <row r="125" spans="3:16">
      <c r="C125" s="557" t="e">
        <f>[3]PROPOSTA!#REF!</f>
        <v>#REF!</v>
      </c>
      <c r="D125" t="e">
        <f t="array" ref="D125:H125">TRUNC(($C125-((10^{15,12,9,6,3})*INT($C125/(10^{15,12,9,6,3}))))/10^{12,9,6,3,0})</f>
        <v>#REF!</v>
      </c>
      <c r="E125" t="e">
        <v>#REF!</v>
      </c>
      <c r="F125" t="e">
        <v>#REF!</v>
      </c>
      <c r="G125" t="e">
        <v>#REF!</v>
      </c>
      <c r="H125" t="e">
        <v>#REF!</v>
      </c>
      <c r="I125" t="e">
        <f>IF($C125&lt;10^15,"",IF(OR(D125=1,AND(D125&gt;=100,MOD(D125,100)=0)),IF(TRUNC(($C125-(10^12*INT($C125/(10^12)))))=0,_e_,_sp_),IF(D125&lt;100,"",_sp_)))&amp;IF(D125=1,INDEX(Sng,1,5),IF(D125&lt;100,"",IF(D125=100,OCem,INDEX(Cem,1,TRUNC(D125/100)))))&amp;IF(MOD(D125,100)=0,"",IF(D125=1,"",IF(OR(MOD(D125,100)&gt;=20,MOD(D125,100)=10),IF(OR(D125&gt;100,AND($C125&gt;10^15,TRUNC(($C125-(10^12*INT($C125/(10^12)))))=0)),_e_,IF($C125&gt;10^15,_sp_,"")),"")))&amp;IF(MOD(D125,100)=0,"",IF(D125=1,"",IF(OR(MOD(D125,100)&gt;=20,MOD(D125,100)=10),INDEX(Dez,1,TRUNC(MOD(D125,100)/10)),"")))&amp;IF(MOD(D125,100)=0,"",IF(D125=1,"",IF(MOD(MOD(D125,100),10)&lt;&gt;0,IF(OR(D125&gt;20,AND($C125&gt;10^15,TRUNC(($C125-(10^12*INT($C125/(10^12)))))=0)),_e_,IF($C125&gt;10^15,_sp_,"")),"")))&amp;IF(D125=0,"",IF(D125=1,"",IF(MOD(MOD(D125,100),10)=0,"",IF(MOD(D125,100)&lt;20,INDEX(Sml,1,MOD(D125,100)),INDEX(Sml,1,MOD(MOD(D125,100),10)))))) &amp; IF(D125&lt;=1,"",INDEX(Plu,1,5))</f>
        <v>#REF!</v>
      </c>
      <c r="J125" t="e">
        <f>IF($C125&lt;10^12,"",IF(OR(E125=1,AND(E125&gt;=100,MOD(E125,100)=0)),IF(TRUNC(($C125-(10^9*INT($C125/(10^9)))))=0,_e_,_sp_),IF(E125&lt;100,"",_sp_)))&amp;IF(E125=1,INDEX(Sng,1,4),IF(E125&lt;100,"",IF(E125=100,OCem,INDEX(Cem,1,TRUNC(E125/100)))))&amp;IF(MOD(E125,100)=0,"",IF(E125=1,"",IF(OR(MOD(E125,100)&gt;=20,MOD(E125,100)=10),IF(OR(E125&gt;100,AND($C125&gt;10^12,TRUNC(($C125-(10^9*INT($C125/(10^9)))))=0)),_e_,IF($C125&gt;10^12,_sp_,"")),"")))&amp;IF(MOD(E125,100)=0,"",IF(E125=1,"",IF(OR(MOD(E125,100)&gt;=20,MOD(E125,100)=10),INDEX(Dez,1,TRUNC(MOD(E125,100)/10)),"")))&amp;IF(MOD(E125,100)=0,"",IF(E125=1,"",IF(MOD(MOD(E125,100),10)&lt;&gt;0,IF(OR(E125&gt;20,AND($C125&gt;10^12,TRUNC(($C125-(10^9*INT($C125/(10^9)))))=0)),_e_,IF($C125&gt;10^12,_sp_,"")),"")))&amp;IF(E125=0,"",IF(E125=1,"",IF(MOD(MOD(E125,100),10)=0,"",IF(MOD(E125,100)&lt;20,INDEX(Sml,1,MOD(E125,100)),INDEX(Sml,1,MOD(MOD(E125,100),10)))))) &amp; IF(E125&lt;=1,"",INDEX(Plu,1,4))</f>
        <v>#REF!</v>
      </c>
      <c r="K125" t="e">
        <f>IF($C125&lt;10^9,"",IF(OR(F125=1,AND(F125&gt;=100,MOD(F125,100)=0)),IF(TRUNC(($C125-(10^6*INT($C125/(10^6)))))=0,_e_,_sp_),IF(F125&lt;100,"",_sp_)))&amp;IF(F125=1,INDEX(Sng,1,3),IF(F125&lt;100,"",IF(F125=100,OCem,INDEX(Cem,1,TRUNC(F125/100)))))&amp;IF(MOD(F125,100)=0,"",IF(F125=1,"",IF(OR(MOD(F125,100)&gt;=20,MOD(F125,100)=10),IF(OR(F125&gt;100,AND($C125&gt;10^9,TRUNC(($C125-(10^6*INT($C125/(10^6)))))=0)),_e_,IF($C125&gt;10^9,_sp_,"")),"")))&amp;IF(MOD(F125,100)=0,"",IF(F125=1,"",IF(OR(MOD(F125,100)&gt;=20,MOD(F125,100)=10),INDEX(Dez,1,TRUNC(MOD(F125,100)/10)),"")))&amp;IF(MOD(F125,100)=0,"",IF(F125=1,"",IF(MOD(MOD(F125,100),10)&lt;&gt;0,IF(OR(F125&gt;20,AND($C125&gt;10^9,TRUNC(($C125-(10^6*INT($C125/(10^6)))))=0)),_e_,IF($C125&gt;10^9,_sp_,"")),"")))&amp;IF(F125=0,"",IF(F125=1,"",IF(MOD(MOD(F125,100),10)=0,"",IF(MOD(F125,100)&lt;20,INDEX(Sml,1,MOD(F125,100)),INDEX(Sml,1,MOD(MOD(F125,100),10)))))) &amp; IF(F125&lt;=1,"",INDEX(Plu,1,3))</f>
        <v>#REF!</v>
      </c>
      <c r="L125" t="e">
        <f>IF($C125&lt;10^6,"",IF(OR(G125=1,AND(G125&gt;=100,MOD(G125,100)=0)),IF(TRUNC(($C125-(10^3*INT($C125/(10^3)))))=0,_e_,_sp_),IF(G125&lt;100,"",_sp_)))&amp;IF(G125=1,INDEX(Sng,1,2),IF(G125&lt;100,"",IF(G125=100,OCem,INDEX(Cem,1,TRUNC(G125/100)))))&amp;IF(MOD(G125,100)=0,"",IF(G125=1,"",IF(OR(MOD(G125,100)&gt;=20,MOD(G125,100)=10),IF(OR(G125&gt;100,AND($C125&gt;10^6,TRUNC(($C125-(10^3*INT($C125/(10^3)))))=0)),_e_,IF($C125&gt;10^6,_sp_,"")),"")))&amp;IF(MOD(G125,100)=0,"",IF(G125=1,"",IF(OR(MOD(G125,100)&gt;=20,MOD(G125,100)=10),INDEX(Dez,1,TRUNC(MOD(G125,100)/10)),"")))&amp;IF(MOD(G125,100)=0,"",IF(G125=1,"",IF(MOD(MOD(G125,100),10)&lt;&gt;0,IF(OR(G125&gt;20,AND($C125&gt;10^6,TRUNC(($C125-(10^3*INT($C125/(10^3)))))=0)),_e_,IF($C125&gt;10^6,_sp_,"")),"")))&amp;IF(G125=0,"",IF(G125=1,"",IF(MOD(MOD(G125,100),10)=0,"",IF(MOD(G125,100)&lt;20,INDEX(Sml,1,MOD(G125,100)),INDEX(Sml,1,MOD(MOD(G125,100),10)))))) &amp; IF(G125&lt;=1,"",INDEX(Plu,1,2))</f>
        <v>#REF!</v>
      </c>
      <c r="M125" t="e">
        <f>IF($C125&lt;10^3,"",IF(OR(H125=1,AND(H125&gt;=100,MOD(H125,100)=0)),IF(TRUNC(($C125-(10^0*INT($C125/(10^0)))))=0,_e_,_sp_),IF(H125&lt;100,"",_sp_)))&amp;IF(H125=1,INDEX(Sng,1,1),IF(H125&lt;100,"",IF(H125=100,OCem,INDEX(Cem,1,TRUNC(H125/100)))))&amp;IF(MOD(H125,100)=0,"",IF(H125=1,"",IF(OR(MOD(H125,100)&gt;=20,MOD(H125,100)=10),IF(OR(H125&gt;100,AND($C125&gt;10^3,TRUNC(($C125-(10^0*INT($C125/(10^0)))))=0)),_e_,IF($C125&gt;10^3,_sp_,"")),"")))&amp;IF(MOD(H125,100)=0,"",IF(H125=1,"",IF(OR(MOD(H125,100)&gt;=20,MOD(H125,100)=10),INDEX(Dez,1,TRUNC(MOD(H125,100)/10)),"")))&amp;IF(MOD(H125,100)=0,"",IF(H125=1,"",IF(MOD(MOD(H125,100),10)&lt;&gt;0,IF(OR(H125&gt;20,AND($C125&gt;10^3,TRUNC(($C125-(10^0*INT($C125/(10^0)))))=0)),_e_,IF($C125&gt;10^3,_sp_,"")),"")))&amp;IF(H125=0,"",IF(H125=1,"",IF(MOD(MOD(H125,100),10)=0,"",IF(MOD(H125,100)&lt;20,INDEX(Sml,1,MOD(H125,100)),INDEX(Sml,1,MOD(MOD(H125,100),10)))))) &amp; IF(H125&lt;=1,"",INDEX(Plu,1,1))</f>
        <v>#REF!</v>
      </c>
      <c r="N125" t="e">
        <f>IF($C125&lt;1,"",IF(TRUNC($C125)=1," real",IF(AND($C125&gt;=10^6,TRUNC($C125-10^6*INT($C125/10^6))=0)," de","") &amp; " reais"))</f>
        <v>#REF!</v>
      </c>
      <c r="O125" t="e">
        <f>IF((ROUND($C125-TRUNC($C125),2)*100)=0,"",IF($C125&gt;=1,_e_,"") &amp; IF((ROUND($C125-TRUNC($C125),2)*100)=1,"um centavo",IF((ROUND($C125-TRUNC($C125),2)*100)&gt;=20,INDEX(Dez,1,TRUNC((ROUND($C125-TRUNC($C125),2)*100)/10)) &amp; IF(MOD((ROUND($C125-TRUNC($C125),2)*100),10)&lt;&gt;0,_e_ &amp; INDEX(Sml,1,MOD((ROUND($C125-TRUNC($C125),2)*100),10)),""),INDEX(Sml,1,(ROUND($C125-TRUNC($C125),2)*100))) &amp; " centavos"))</f>
        <v>#REF!</v>
      </c>
      <c r="P125" t="e">
        <f>I125&amp;J125&amp;K125&amp;L125&amp;M125&amp;N125&amp;O125</f>
        <v>#REF!</v>
      </c>
    </row>
    <row r="128" spans="3:16" ht="13.5" thickBot="1"/>
    <row r="129" spans="3:16" ht="13.5" thickBot="1">
      <c r="D129" s="558" t="s">
        <v>297</v>
      </c>
      <c r="E129" s="559"/>
      <c r="F129" s="559"/>
      <c r="G129" s="559"/>
      <c r="H129" s="560"/>
      <c r="I129" s="558" t="s">
        <v>298</v>
      </c>
      <c r="J129" s="559"/>
      <c r="K129" s="559"/>
      <c r="L129" s="559"/>
      <c r="M129" s="560"/>
      <c r="N129" s="561" t="s">
        <v>299</v>
      </c>
      <c r="O129" s="561" t="s">
        <v>300</v>
      </c>
      <c r="P129" s="561" t="s">
        <v>301</v>
      </c>
    </row>
    <row r="130" spans="3:16" ht="26.25" thickBot="1">
      <c r="C130" s="553" t="s">
        <v>302</v>
      </c>
      <c r="D130" s="554" t="s">
        <v>303</v>
      </c>
      <c r="E130" s="555" t="s">
        <v>304</v>
      </c>
      <c r="F130" s="555" t="s">
        <v>305</v>
      </c>
      <c r="G130" s="555" t="s">
        <v>306</v>
      </c>
      <c r="H130" s="556" t="s">
        <v>307</v>
      </c>
      <c r="I130" s="554" t="s">
        <v>303</v>
      </c>
      <c r="J130" s="555" t="s">
        <v>304</v>
      </c>
      <c r="K130" s="555" t="s">
        <v>305</v>
      </c>
      <c r="L130" s="555" t="s">
        <v>306</v>
      </c>
      <c r="M130" s="556" t="s">
        <v>307</v>
      </c>
      <c r="N130" s="562"/>
      <c r="O130" s="562"/>
      <c r="P130" s="562"/>
    </row>
    <row r="131" spans="3:16">
      <c r="C131" s="557" t="e">
        <f>[3]PROPOSTA!#REF!</f>
        <v>#REF!</v>
      </c>
      <c r="D131" t="e">
        <f t="array" ref="D131:H131">TRUNC(($C131-((10^{15,12,9,6,3})*INT($C131/(10^{15,12,9,6,3}))))/10^{12,9,6,3,0})</f>
        <v>#REF!</v>
      </c>
      <c r="E131" t="e">
        <v>#REF!</v>
      </c>
      <c r="F131" t="e">
        <v>#REF!</v>
      </c>
      <c r="G131" t="e">
        <v>#REF!</v>
      </c>
      <c r="H131" t="e">
        <v>#REF!</v>
      </c>
      <c r="I131" t="e">
        <f>IF($C131&lt;10^15,"",IF(OR(D131=1,AND(D131&gt;=100,MOD(D131,100)=0)),IF(TRUNC(($C131-(10^12*INT($C131/(10^12)))))=0,_e_,_sp_),IF(D131&lt;100,"",_sp_)))&amp;IF(D131=1,INDEX(Sng,1,5),IF(D131&lt;100,"",IF(D131=100,OCem,INDEX(Cem,1,TRUNC(D131/100)))))&amp;IF(MOD(D131,100)=0,"",IF(D131=1,"",IF(OR(MOD(D131,100)&gt;=20,MOD(D131,100)=10),IF(OR(D131&gt;100,AND($C131&gt;10^15,TRUNC(($C131-(10^12*INT($C131/(10^12)))))=0)),_e_,IF($C131&gt;10^15,_sp_,"")),"")))&amp;IF(MOD(D131,100)=0,"",IF(D131=1,"",IF(OR(MOD(D131,100)&gt;=20,MOD(D131,100)=10),INDEX(Dez,1,TRUNC(MOD(D131,100)/10)),"")))&amp;IF(MOD(D131,100)=0,"",IF(D131=1,"",IF(MOD(MOD(D131,100),10)&lt;&gt;0,IF(OR(D131&gt;20,AND($C131&gt;10^15,TRUNC(($C131-(10^12*INT($C131/(10^12)))))=0)),_e_,IF($C131&gt;10^15,_sp_,"")),"")))&amp;IF(D131=0,"",IF(D131=1,"",IF(MOD(MOD(D131,100),10)=0,"",IF(MOD(D131,100)&lt;20,INDEX(Sml,1,MOD(D131,100)),INDEX(Sml,1,MOD(MOD(D131,100),10)))))) &amp; IF(D131&lt;=1,"",INDEX(Plu,1,5))</f>
        <v>#REF!</v>
      </c>
      <c r="J131" t="e">
        <f>IF($C131&lt;10^12,"",IF(OR(E131=1,AND(E131&gt;=100,MOD(E131,100)=0)),IF(TRUNC(($C131-(10^9*INT($C131/(10^9)))))=0,_e_,_sp_),IF(E131&lt;100,"",_sp_)))&amp;IF(E131=1,INDEX(Sng,1,4),IF(E131&lt;100,"",IF(E131=100,OCem,INDEX(Cem,1,TRUNC(E131/100)))))&amp;IF(MOD(E131,100)=0,"",IF(E131=1,"",IF(OR(MOD(E131,100)&gt;=20,MOD(E131,100)=10),IF(OR(E131&gt;100,AND($C131&gt;10^12,TRUNC(($C131-(10^9*INT($C131/(10^9)))))=0)),_e_,IF($C131&gt;10^12,_sp_,"")),"")))&amp;IF(MOD(E131,100)=0,"",IF(E131=1,"",IF(OR(MOD(E131,100)&gt;=20,MOD(E131,100)=10),INDEX(Dez,1,TRUNC(MOD(E131,100)/10)),"")))&amp;IF(MOD(E131,100)=0,"",IF(E131=1,"",IF(MOD(MOD(E131,100),10)&lt;&gt;0,IF(OR(E131&gt;20,AND($C131&gt;10^12,TRUNC(($C131-(10^9*INT($C131/(10^9)))))=0)),_e_,IF($C131&gt;10^12,_sp_,"")),"")))&amp;IF(E131=0,"",IF(E131=1,"",IF(MOD(MOD(E131,100),10)=0,"",IF(MOD(E131,100)&lt;20,INDEX(Sml,1,MOD(E131,100)),INDEX(Sml,1,MOD(MOD(E131,100),10)))))) &amp; IF(E131&lt;=1,"",INDEX(Plu,1,4))</f>
        <v>#REF!</v>
      </c>
      <c r="K131" t="e">
        <f>IF($C131&lt;10^9,"",IF(OR(F131=1,AND(F131&gt;=100,MOD(F131,100)=0)),IF(TRUNC(($C131-(10^6*INT($C131/(10^6)))))=0,_e_,_sp_),IF(F131&lt;100,"",_sp_)))&amp;IF(F131=1,INDEX(Sng,1,3),IF(F131&lt;100,"",IF(F131=100,OCem,INDEX(Cem,1,TRUNC(F131/100)))))&amp;IF(MOD(F131,100)=0,"",IF(F131=1,"",IF(OR(MOD(F131,100)&gt;=20,MOD(F131,100)=10),IF(OR(F131&gt;100,AND($C131&gt;10^9,TRUNC(($C131-(10^6*INT($C131/(10^6)))))=0)),_e_,IF($C131&gt;10^9,_sp_,"")),"")))&amp;IF(MOD(F131,100)=0,"",IF(F131=1,"",IF(OR(MOD(F131,100)&gt;=20,MOD(F131,100)=10),INDEX(Dez,1,TRUNC(MOD(F131,100)/10)),"")))&amp;IF(MOD(F131,100)=0,"",IF(F131=1,"",IF(MOD(MOD(F131,100),10)&lt;&gt;0,IF(OR(F131&gt;20,AND($C131&gt;10^9,TRUNC(($C131-(10^6*INT($C131/(10^6)))))=0)),_e_,IF($C131&gt;10^9,_sp_,"")),"")))&amp;IF(F131=0,"",IF(F131=1,"",IF(MOD(MOD(F131,100),10)=0,"",IF(MOD(F131,100)&lt;20,INDEX(Sml,1,MOD(F131,100)),INDEX(Sml,1,MOD(MOD(F131,100),10)))))) &amp; IF(F131&lt;=1,"",INDEX(Plu,1,3))</f>
        <v>#REF!</v>
      </c>
      <c r="L131" t="e">
        <f>IF($C131&lt;10^6,"",IF(OR(G131=1,AND(G131&gt;=100,MOD(G131,100)=0)),IF(TRUNC(($C131-(10^3*INT($C131/(10^3)))))=0,_e_,_sp_),IF(G131&lt;100,"",_sp_)))&amp;IF(G131=1,INDEX(Sng,1,2),IF(G131&lt;100,"",IF(G131=100,OCem,INDEX(Cem,1,TRUNC(G131/100)))))&amp;IF(MOD(G131,100)=0,"",IF(G131=1,"",IF(OR(MOD(G131,100)&gt;=20,MOD(G131,100)=10),IF(OR(G131&gt;100,AND($C131&gt;10^6,TRUNC(($C131-(10^3*INT($C131/(10^3)))))=0)),_e_,IF($C131&gt;10^6,_sp_,"")),"")))&amp;IF(MOD(G131,100)=0,"",IF(G131=1,"",IF(OR(MOD(G131,100)&gt;=20,MOD(G131,100)=10),INDEX(Dez,1,TRUNC(MOD(G131,100)/10)),"")))&amp;IF(MOD(G131,100)=0,"",IF(G131=1,"",IF(MOD(MOD(G131,100),10)&lt;&gt;0,IF(OR(G131&gt;20,AND($C131&gt;10^6,TRUNC(($C131-(10^3*INT($C131/(10^3)))))=0)),_e_,IF($C131&gt;10^6,_sp_,"")),"")))&amp;IF(G131=0,"",IF(G131=1,"",IF(MOD(MOD(G131,100),10)=0,"",IF(MOD(G131,100)&lt;20,INDEX(Sml,1,MOD(G131,100)),INDEX(Sml,1,MOD(MOD(G131,100),10)))))) &amp; IF(G131&lt;=1,"",INDEX(Plu,1,2))</f>
        <v>#REF!</v>
      </c>
      <c r="M131" t="e">
        <f>IF($C131&lt;10^3,"",IF(OR(H131=1,AND(H131&gt;=100,MOD(H131,100)=0)),IF(TRUNC(($C131-(10^0*INT($C131/(10^0)))))=0,_e_,_sp_),IF(H131&lt;100,"",_sp_)))&amp;IF(H131=1,INDEX(Sng,1,1),IF(H131&lt;100,"",IF(H131=100,OCem,INDEX(Cem,1,TRUNC(H131/100)))))&amp;IF(MOD(H131,100)=0,"",IF(H131=1,"",IF(OR(MOD(H131,100)&gt;=20,MOD(H131,100)=10),IF(OR(H131&gt;100,AND($C131&gt;10^3,TRUNC(($C131-(10^0*INT($C131/(10^0)))))=0)),_e_,IF($C131&gt;10^3,_sp_,"")),"")))&amp;IF(MOD(H131,100)=0,"",IF(H131=1,"",IF(OR(MOD(H131,100)&gt;=20,MOD(H131,100)=10),INDEX(Dez,1,TRUNC(MOD(H131,100)/10)),"")))&amp;IF(MOD(H131,100)=0,"",IF(H131=1,"",IF(MOD(MOD(H131,100),10)&lt;&gt;0,IF(OR(H131&gt;20,AND($C131&gt;10^3,TRUNC(($C131-(10^0*INT($C131/(10^0)))))=0)),_e_,IF($C131&gt;10^3,_sp_,"")),"")))&amp;IF(H131=0,"",IF(H131=1,"",IF(MOD(MOD(H131,100),10)=0,"",IF(MOD(H131,100)&lt;20,INDEX(Sml,1,MOD(H131,100)),INDEX(Sml,1,MOD(MOD(H131,100),10)))))) &amp; IF(H131&lt;=1,"",INDEX(Plu,1,1))</f>
        <v>#REF!</v>
      </c>
      <c r="N131" t="e">
        <f>IF($C131&lt;1,"",IF(TRUNC($C131)=1," real",IF(AND($C131&gt;=10^6,TRUNC($C131-10^6*INT($C131/10^6))=0)," de","") &amp; " reais"))</f>
        <v>#REF!</v>
      </c>
      <c r="O131" t="e">
        <f>IF((ROUND($C131-TRUNC($C131),2)*100)=0,"",IF($C131&gt;=1,_e_,"") &amp; IF((ROUND($C131-TRUNC($C131),2)*100)=1,"um centavo",IF((ROUND($C131-TRUNC($C131),2)*100)&gt;=20,INDEX(Dez,1,TRUNC((ROUND($C131-TRUNC($C131),2)*100)/10)) &amp; IF(MOD((ROUND($C131-TRUNC($C131),2)*100),10)&lt;&gt;0,_e_ &amp; INDEX(Sml,1,MOD((ROUND($C131-TRUNC($C131),2)*100),10)),""),INDEX(Sml,1,(ROUND($C131-TRUNC($C131),2)*100))) &amp; " centavos"))</f>
        <v>#REF!</v>
      </c>
      <c r="P131" t="e">
        <f>I131&amp;J131&amp;K131&amp;L131&amp;M131&amp;N131&amp;O131</f>
        <v>#REF!</v>
      </c>
    </row>
    <row r="134" spans="3:16" ht="13.5" thickBot="1"/>
    <row r="135" spans="3:16" ht="13.5" thickBot="1">
      <c r="D135" s="894" t="s">
        <v>297</v>
      </c>
      <c r="E135" s="895"/>
      <c r="F135" s="895"/>
      <c r="G135" s="895"/>
      <c r="H135" s="896"/>
      <c r="I135" s="894" t="s">
        <v>298</v>
      </c>
      <c r="J135" s="895"/>
      <c r="K135" s="895"/>
      <c r="L135" s="895"/>
      <c r="M135" s="896"/>
      <c r="N135" s="897" t="s">
        <v>299</v>
      </c>
      <c r="O135" s="897" t="s">
        <v>300</v>
      </c>
      <c r="P135" s="897" t="s">
        <v>301</v>
      </c>
    </row>
    <row r="136" spans="3:16" ht="26.25" thickBot="1">
      <c r="C136" s="553" t="s">
        <v>302</v>
      </c>
      <c r="D136" s="554" t="s">
        <v>303</v>
      </c>
      <c r="E136" s="555" t="s">
        <v>304</v>
      </c>
      <c r="F136" s="555" t="s">
        <v>305</v>
      </c>
      <c r="G136" s="555" t="s">
        <v>306</v>
      </c>
      <c r="H136" s="556" t="s">
        <v>307</v>
      </c>
      <c r="I136" s="554" t="s">
        <v>303</v>
      </c>
      <c r="J136" s="555" t="s">
        <v>304</v>
      </c>
      <c r="K136" s="555" t="s">
        <v>305</v>
      </c>
      <c r="L136" s="555" t="s">
        <v>306</v>
      </c>
      <c r="M136" s="556" t="s">
        <v>307</v>
      </c>
      <c r="N136" s="898"/>
      <c r="O136" s="898"/>
      <c r="P136" s="898"/>
    </row>
    <row r="137" spans="3:16">
      <c r="C137" s="557" t="e">
        <f>[3]PROPOSTA!#REF!</f>
        <v>#REF!</v>
      </c>
      <c r="D137" t="e">
        <f t="array" ref="D137:H137">TRUNC(($C137-((10^{15,12,9,6,3})*INT($C137/(10^{15,12,9,6,3}))))/10^{12,9,6,3,0})</f>
        <v>#REF!</v>
      </c>
      <c r="E137" t="e">
        <v>#REF!</v>
      </c>
      <c r="F137" t="e">
        <v>#REF!</v>
      </c>
      <c r="G137" t="e">
        <v>#REF!</v>
      </c>
      <c r="H137" t="e">
        <v>#REF!</v>
      </c>
      <c r="I137" t="e">
        <f>IF($C137&lt;10^15,"",IF(OR(D137=1,AND(D137&gt;=100,MOD(D137,100)=0)),IF(TRUNC(($C137-(10^12*INT($C137/(10^12)))))=0,_e_,_sp_),IF(D137&lt;100,"",_sp_)))&amp;IF(D137=1,INDEX(Sng,1,5),IF(D137&lt;100,"",IF(D137=100,OCem,INDEX(Cem,1,TRUNC(D137/100)))))&amp;IF(MOD(D137,100)=0,"",IF(D137=1,"",IF(OR(MOD(D137,100)&gt;=20,MOD(D137,100)=10),IF(OR(D137&gt;100,AND($C137&gt;10^15,TRUNC(($C137-(10^12*INT($C137/(10^12)))))=0)),_e_,IF($C137&gt;10^15,_sp_,"")),"")))&amp;IF(MOD(D137,100)=0,"",IF(D137=1,"",IF(OR(MOD(D137,100)&gt;=20,MOD(D137,100)=10),INDEX(Dez,1,TRUNC(MOD(D137,100)/10)),"")))&amp;IF(MOD(D137,100)=0,"",IF(D137=1,"",IF(MOD(MOD(D137,100),10)&lt;&gt;0,IF(OR(D137&gt;20,AND($C137&gt;10^15,TRUNC(($C137-(10^12*INT($C137/(10^12)))))=0)),_e_,IF($C137&gt;10^15,_sp_,"")),"")))&amp;IF(D137=0,"",IF(D137=1,"",IF(MOD(MOD(D137,100),10)=0,"",IF(MOD(D137,100)&lt;20,INDEX(Sml,1,MOD(D137,100)),INDEX(Sml,1,MOD(MOD(D137,100),10)))))) &amp; IF(D137&lt;=1,"",INDEX(Plu,1,5))</f>
        <v>#REF!</v>
      </c>
      <c r="J137" t="e">
        <f>IF($C137&lt;10^12,"",IF(OR(E137=1,AND(E137&gt;=100,MOD(E137,100)=0)),IF(TRUNC(($C137-(10^9*INT($C137/(10^9)))))=0,_e_,_sp_),IF(E137&lt;100,"",_sp_)))&amp;IF(E137=1,INDEX(Sng,1,4),IF(E137&lt;100,"",IF(E137=100,OCem,INDEX(Cem,1,TRUNC(E137/100)))))&amp;IF(MOD(E137,100)=0,"",IF(E137=1,"",IF(OR(MOD(E137,100)&gt;=20,MOD(E137,100)=10),IF(OR(E137&gt;100,AND($C137&gt;10^12,TRUNC(($C137-(10^9*INT($C137/(10^9)))))=0)),_e_,IF($C137&gt;10^12,_sp_,"")),"")))&amp;IF(MOD(E137,100)=0,"",IF(E137=1,"",IF(OR(MOD(E137,100)&gt;=20,MOD(E137,100)=10),INDEX(Dez,1,TRUNC(MOD(E137,100)/10)),"")))&amp;IF(MOD(E137,100)=0,"",IF(E137=1,"",IF(MOD(MOD(E137,100),10)&lt;&gt;0,IF(OR(E137&gt;20,AND($C137&gt;10^12,TRUNC(($C137-(10^9*INT($C137/(10^9)))))=0)),_e_,IF($C137&gt;10^12,_sp_,"")),"")))&amp;IF(E137=0,"",IF(E137=1,"",IF(MOD(MOD(E137,100),10)=0,"",IF(MOD(E137,100)&lt;20,INDEX(Sml,1,MOD(E137,100)),INDEX(Sml,1,MOD(MOD(E137,100),10)))))) &amp; IF(E137&lt;=1,"",INDEX(Plu,1,4))</f>
        <v>#REF!</v>
      </c>
      <c r="K137" t="e">
        <f>IF($C137&lt;10^9,"",IF(OR(F137=1,AND(F137&gt;=100,MOD(F137,100)=0)),IF(TRUNC(($C137-(10^6*INT($C137/(10^6)))))=0,_e_,_sp_),IF(F137&lt;100,"",_sp_)))&amp;IF(F137=1,INDEX(Sng,1,3),IF(F137&lt;100,"",IF(F137=100,OCem,INDEX(Cem,1,TRUNC(F137/100)))))&amp;IF(MOD(F137,100)=0,"",IF(F137=1,"",IF(OR(MOD(F137,100)&gt;=20,MOD(F137,100)=10),IF(OR(F137&gt;100,AND($C137&gt;10^9,TRUNC(($C137-(10^6*INT($C137/(10^6)))))=0)),_e_,IF($C137&gt;10^9,_sp_,"")),"")))&amp;IF(MOD(F137,100)=0,"",IF(F137=1,"",IF(OR(MOD(F137,100)&gt;=20,MOD(F137,100)=10),INDEX(Dez,1,TRUNC(MOD(F137,100)/10)),"")))&amp;IF(MOD(F137,100)=0,"",IF(F137=1,"",IF(MOD(MOD(F137,100),10)&lt;&gt;0,IF(OR(F137&gt;20,AND($C137&gt;10^9,TRUNC(($C137-(10^6*INT($C137/(10^6)))))=0)),_e_,IF($C137&gt;10^9,_sp_,"")),"")))&amp;IF(F137=0,"",IF(F137=1,"",IF(MOD(MOD(F137,100),10)=0,"",IF(MOD(F137,100)&lt;20,INDEX(Sml,1,MOD(F137,100)),INDEX(Sml,1,MOD(MOD(F137,100),10)))))) &amp; IF(F137&lt;=1,"",INDEX(Plu,1,3))</f>
        <v>#REF!</v>
      </c>
      <c r="L137" t="e">
        <f>IF($C137&lt;10^6,"",IF(OR(G137=1,AND(G137&gt;=100,MOD(G137,100)=0)),IF(TRUNC(($C137-(10^3*INT($C137/(10^3)))))=0,_e_,_sp_),IF(G137&lt;100,"",_sp_)))&amp;IF(G137=1,INDEX(Sng,1,2),IF(G137&lt;100,"",IF(G137=100,OCem,INDEX(Cem,1,TRUNC(G137/100)))))&amp;IF(MOD(G137,100)=0,"",IF(G137=1,"",IF(OR(MOD(G137,100)&gt;=20,MOD(G137,100)=10),IF(OR(G137&gt;100,AND($C137&gt;10^6,TRUNC(($C137-(10^3*INT($C137/(10^3)))))=0)),_e_,IF($C137&gt;10^6,_sp_,"")),"")))&amp;IF(MOD(G137,100)=0,"",IF(G137=1,"",IF(OR(MOD(G137,100)&gt;=20,MOD(G137,100)=10),INDEX(Dez,1,TRUNC(MOD(G137,100)/10)),"")))&amp;IF(MOD(G137,100)=0,"",IF(G137=1,"",IF(MOD(MOD(G137,100),10)&lt;&gt;0,IF(OR(G137&gt;20,AND($C137&gt;10^6,TRUNC(($C137-(10^3*INT($C137/(10^3)))))=0)),_e_,IF($C137&gt;10^6,_sp_,"")),"")))&amp;IF(G137=0,"",IF(G137=1,"",IF(MOD(MOD(G137,100),10)=0,"",IF(MOD(G137,100)&lt;20,INDEX(Sml,1,MOD(G137,100)),INDEX(Sml,1,MOD(MOD(G137,100),10)))))) &amp; IF(G137&lt;=1,"",INDEX(Plu,1,2))</f>
        <v>#REF!</v>
      </c>
      <c r="M137" t="e">
        <f>IF($C137&lt;10^3,"",IF(OR(H137=1,AND(H137&gt;=100,MOD(H137,100)=0)),IF(TRUNC(($C137-(10^0*INT($C137/(10^0)))))=0,_e_,_sp_),IF(H137&lt;100,"",_sp_)))&amp;IF(H137=1,INDEX(Sng,1,1),IF(H137&lt;100,"",IF(H137=100,OCem,INDEX(Cem,1,TRUNC(H137/100)))))&amp;IF(MOD(H137,100)=0,"",IF(H137=1,"",IF(OR(MOD(H137,100)&gt;=20,MOD(H137,100)=10),IF(OR(H137&gt;100,AND($C137&gt;10^3,TRUNC(($C137-(10^0*INT($C137/(10^0)))))=0)),_e_,IF($C137&gt;10^3,_sp_,"")),"")))&amp;IF(MOD(H137,100)=0,"",IF(H137=1,"",IF(OR(MOD(H137,100)&gt;=20,MOD(H137,100)=10),INDEX(Dez,1,TRUNC(MOD(H137,100)/10)),"")))&amp;IF(MOD(H137,100)=0,"",IF(H137=1,"",IF(MOD(MOD(H137,100),10)&lt;&gt;0,IF(OR(H137&gt;20,AND($C137&gt;10^3,TRUNC(($C137-(10^0*INT($C137/(10^0)))))=0)),_e_,IF($C137&gt;10^3,_sp_,"")),"")))&amp;IF(H137=0,"",IF(H137=1,"",IF(MOD(MOD(H137,100),10)=0,"",IF(MOD(H137,100)&lt;20,INDEX(Sml,1,MOD(H137,100)),INDEX(Sml,1,MOD(MOD(H137,100),10)))))) &amp; IF(H137&lt;=1,"",INDEX(Plu,1,1))</f>
        <v>#REF!</v>
      </c>
      <c r="N137" t="e">
        <f>IF($C137&lt;1,"",IF(TRUNC($C137)=1," real",IF(AND($C137&gt;=10^6,TRUNC($C137-10^6*INT($C137/10^6))=0)," de","") &amp; " reais"))</f>
        <v>#REF!</v>
      </c>
      <c r="O137" t="e">
        <f>IF((ROUND($C137-TRUNC($C137),2)*100)=0,"",IF($C137&gt;=1,_e_,"") &amp; IF((ROUND($C137-TRUNC($C137),2)*100)=1,"um centavo",IF((ROUND($C137-TRUNC($C137),2)*100)&gt;=20,INDEX(Dez,1,TRUNC((ROUND($C137-TRUNC($C137),2)*100)/10)) &amp; IF(MOD((ROUND($C137-TRUNC($C137),2)*100),10)&lt;&gt;0,_e_ &amp; INDEX(Sml,1,MOD((ROUND($C137-TRUNC($C137),2)*100),10)),""),INDEX(Sml,1,(ROUND($C137-TRUNC($C137),2)*100))) &amp; " centavos"))</f>
        <v>#REF!</v>
      </c>
      <c r="P137" t="e">
        <f>I137&amp;J137&amp;K137&amp;L137&amp;M137&amp;N137&amp;O137</f>
        <v>#REF!</v>
      </c>
    </row>
    <row r="140" spans="3:16" ht="13.5" thickBot="1"/>
    <row r="141" spans="3:16" ht="13.5" thickBot="1">
      <c r="D141" s="558" t="s">
        <v>297</v>
      </c>
      <c r="E141" s="559"/>
      <c r="F141" s="559"/>
      <c r="G141" s="559"/>
      <c r="H141" s="560"/>
      <c r="I141" s="558" t="s">
        <v>298</v>
      </c>
      <c r="J141" s="559"/>
      <c r="K141" s="559"/>
      <c r="L141" s="559"/>
      <c r="M141" s="560"/>
      <c r="N141" s="561" t="s">
        <v>299</v>
      </c>
      <c r="O141" s="561" t="s">
        <v>300</v>
      </c>
      <c r="P141" s="561" t="s">
        <v>301</v>
      </c>
    </row>
    <row r="142" spans="3:16" ht="26.25" thickBot="1">
      <c r="C142" s="553" t="s">
        <v>302</v>
      </c>
      <c r="D142" s="554" t="s">
        <v>303</v>
      </c>
      <c r="E142" s="555" t="s">
        <v>304</v>
      </c>
      <c r="F142" s="555" t="s">
        <v>305</v>
      </c>
      <c r="G142" s="555" t="s">
        <v>306</v>
      </c>
      <c r="H142" s="556" t="s">
        <v>307</v>
      </c>
      <c r="I142" s="554" t="s">
        <v>303</v>
      </c>
      <c r="J142" s="555" t="s">
        <v>304</v>
      </c>
      <c r="K142" s="555" t="s">
        <v>305</v>
      </c>
      <c r="L142" s="555" t="s">
        <v>306</v>
      </c>
      <c r="M142" s="556" t="s">
        <v>307</v>
      </c>
      <c r="N142" s="562"/>
      <c r="O142" s="562"/>
      <c r="P142" s="562"/>
    </row>
    <row r="143" spans="3:16">
      <c r="C143" s="557" t="e">
        <f>[3]PROPOSTA!#REF!</f>
        <v>#REF!</v>
      </c>
      <c r="D143" t="e">
        <f t="array" ref="D143:H143">TRUNC(($C143-((10^{15,12,9,6,3})*INT($C143/(10^{15,12,9,6,3}))))/10^{12,9,6,3,0})</f>
        <v>#REF!</v>
      </c>
      <c r="E143" t="e">
        <v>#REF!</v>
      </c>
      <c r="F143" t="e">
        <v>#REF!</v>
      </c>
      <c r="G143" t="e">
        <v>#REF!</v>
      </c>
      <c r="H143" t="e">
        <v>#REF!</v>
      </c>
      <c r="I143" t="e">
        <f>IF($C143&lt;10^15,"",IF(OR(D143=1,AND(D143&gt;=100,MOD(D143,100)=0)),IF(TRUNC(($C143-(10^12*INT($C143/(10^12)))))=0,_e_,_sp_),IF(D143&lt;100,"",_sp_)))&amp;IF(D143=1,INDEX(Sng,1,5),IF(D143&lt;100,"",IF(D143=100,OCem,INDEX(Cem,1,TRUNC(D143/100)))))&amp;IF(MOD(D143,100)=0,"",IF(D143=1,"",IF(OR(MOD(D143,100)&gt;=20,MOD(D143,100)=10),IF(OR(D143&gt;100,AND($C143&gt;10^15,TRUNC(($C143-(10^12*INT($C143/(10^12)))))=0)),_e_,IF($C143&gt;10^15,_sp_,"")),"")))&amp;IF(MOD(D143,100)=0,"",IF(D143=1,"",IF(OR(MOD(D143,100)&gt;=20,MOD(D143,100)=10),INDEX(Dez,1,TRUNC(MOD(D143,100)/10)),"")))&amp;IF(MOD(D143,100)=0,"",IF(D143=1,"",IF(MOD(MOD(D143,100),10)&lt;&gt;0,IF(OR(D143&gt;20,AND($C143&gt;10^15,TRUNC(($C143-(10^12*INT($C143/(10^12)))))=0)),_e_,IF($C143&gt;10^15,_sp_,"")),"")))&amp;IF(D143=0,"",IF(D143=1,"",IF(MOD(MOD(D143,100),10)=0,"",IF(MOD(D143,100)&lt;20,INDEX(Sml,1,MOD(D143,100)),INDEX(Sml,1,MOD(MOD(D143,100),10)))))) &amp; IF(D143&lt;=1,"",INDEX(Plu,1,5))</f>
        <v>#REF!</v>
      </c>
      <c r="J143" t="e">
        <f>IF($C143&lt;10^12,"",IF(OR(E143=1,AND(E143&gt;=100,MOD(E143,100)=0)),IF(TRUNC(($C143-(10^9*INT($C143/(10^9)))))=0,_e_,_sp_),IF(E143&lt;100,"",_sp_)))&amp;IF(E143=1,INDEX(Sng,1,4),IF(E143&lt;100,"",IF(E143=100,OCem,INDEX(Cem,1,TRUNC(E143/100)))))&amp;IF(MOD(E143,100)=0,"",IF(E143=1,"",IF(OR(MOD(E143,100)&gt;=20,MOD(E143,100)=10),IF(OR(E143&gt;100,AND($C143&gt;10^12,TRUNC(($C143-(10^9*INT($C143/(10^9)))))=0)),_e_,IF($C143&gt;10^12,_sp_,"")),"")))&amp;IF(MOD(E143,100)=0,"",IF(E143=1,"",IF(OR(MOD(E143,100)&gt;=20,MOD(E143,100)=10),INDEX(Dez,1,TRUNC(MOD(E143,100)/10)),"")))&amp;IF(MOD(E143,100)=0,"",IF(E143=1,"",IF(MOD(MOD(E143,100),10)&lt;&gt;0,IF(OR(E143&gt;20,AND($C143&gt;10^12,TRUNC(($C143-(10^9*INT($C143/(10^9)))))=0)),_e_,IF($C143&gt;10^12,_sp_,"")),"")))&amp;IF(E143=0,"",IF(E143=1,"",IF(MOD(MOD(E143,100),10)=0,"",IF(MOD(E143,100)&lt;20,INDEX(Sml,1,MOD(E143,100)),INDEX(Sml,1,MOD(MOD(E143,100),10)))))) &amp; IF(E143&lt;=1,"",INDEX(Plu,1,4))</f>
        <v>#REF!</v>
      </c>
      <c r="K143" t="e">
        <f>IF($C143&lt;10^9,"",IF(OR(F143=1,AND(F143&gt;=100,MOD(F143,100)=0)),IF(TRUNC(($C143-(10^6*INT($C143/(10^6)))))=0,_e_,_sp_),IF(F143&lt;100,"",_sp_)))&amp;IF(F143=1,INDEX(Sng,1,3),IF(F143&lt;100,"",IF(F143=100,OCem,INDEX(Cem,1,TRUNC(F143/100)))))&amp;IF(MOD(F143,100)=0,"",IF(F143=1,"",IF(OR(MOD(F143,100)&gt;=20,MOD(F143,100)=10),IF(OR(F143&gt;100,AND($C143&gt;10^9,TRUNC(($C143-(10^6*INT($C143/(10^6)))))=0)),_e_,IF($C143&gt;10^9,_sp_,"")),"")))&amp;IF(MOD(F143,100)=0,"",IF(F143=1,"",IF(OR(MOD(F143,100)&gt;=20,MOD(F143,100)=10),INDEX(Dez,1,TRUNC(MOD(F143,100)/10)),"")))&amp;IF(MOD(F143,100)=0,"",IF(F143=1,"",IF(MOD(MOD(F143,100),10)&lt;&gt;0,IF(OR(F143&gt;20,AND($C143&gt;10^9,TRUNC(($C143-(10^6*INT($C143/(10^6)))))=0)),_e_,IF($C143&gt;10^9,_sp_,"")),"")))&amp;IF(F143=0,"",IF(F143=1,"",IF(MOD(MOD(F143,100),10)=0,"",IF(MOD(F143,100)&lt;20,INDEX(Sml,1,MOD(F143,100)),INDEX(Sml,1,MOD(MOD(F143,100),10)))))) &amp; IF(F143&lt;=1,"",INDEX(Plu,1,3))</f>
        <v>#REF!</v>
      </c>
      <c r="L143" t="e">
        <f>IF($C143&lt;10^6,"",IF(OR(G143=1,AND(G143&gt;=100,MOD(G143,100)=0)),IF(TRUNC(($C143-(10^3*INT($C143/(10^3)))))=0,_e_,_sp_),IF(G143&lt;100,"",_sp_)))&amp;IF(G143=1,INDEX(Sng,1,2),IF(G143&lt;100,"",IF(G143=100,OCem,INDEX(Cem,1,TRUNC(G143/100)))))&amp;IF(MOD(G143,100)=0,"",IF(G143=1,"",IF(OR(MOD(G143,100)&gt;=20,MOD(G143,100)=10),IF(OR(G143&gt;100,AND($C143&gt;10^6,TRUNC(($C143-(10^3*INT($C143/(10^3)))))=0)),_e_,IF($C143&gt;10^6,_sp_,"")),"")))&amp;IF(MOD(G143,100)=0,"",IF(G143=1,"",IF(OR(MOD(G143,100)&gt;=20,MOD(G143,100)=10),INDEX(Dez,1,TRUNC(MOD(G143,100)/10)),"")))&amp;IF(MOD(G143,100)=0,"",IF(G143=1,"",IF(MOD(MOD(G143,100),10)&lt;&gt;0,IF(OR(G143&gt;20,AND($C143&gt;10^6,TRUNC(($C143-(10^3*INT($C143/(10^3)))))=0)),_e_,IF($C143&gt;10^6,_sp_,"")),"")))&amp;IF(G143=0,"",IF(G143=1,"",IF(MOD(MOD(G143,100),10)=0,"",IF(MOD(G143,100)&lt;20,INDEX(Sml,1,MOD(G143,100)),INDEX(Sml,1,MOD(MOD(G143,100),10)))))) &amp; IF(G143&lt;=1,"",INDEX(Plu,1,2))</f>
        <v>#REF!</v>
      </c>
      <c r="M143" t="e">
        <f>IF($C143&lt;10^3,"",IF(OR(H143=1,AND(H143&gt;=100,MOD(H143,100)=0)),IF(TRUNC(($C143-(10^0*INT($C143/(10^0)))))=0,_e_,_sp_),IF(H143&lt;100,"",_sp_)))&amp;IF(H143=1,INDEX(Sng,1,1),IF(H143&lt;100,"",IF(H143=100,OCem,INDEX(Cem,1,TRUNC(H143/100)))))&amp;IF(MOD(H143,100)=0,"",IF(H143=1,"",IF(OR(MOD(H143,100)&gt;=20,MOD(H143,100)=10),IF(OR(H143&gt;100,AND($C143&gt;10^3,TRUNC(($C143-(10^0*INT($C143/(10^0)))))=0)),_e_,IF($C143&gt;10^3,_sp_,"")),"")))&amp;IF(MOD(H143,100)=0,"",IF(H143=1,"",IF(OR(MOD(H143,100)&gt;=20,MOD(H143,100)=10),INDEX(Dez,1,TRUNC(MOD(H143,100)/10)),"")))&amp;IF(MOD(H143,100)=0,"",IF(H143=1,"",IF(MOD(MOD(H143,100),10)&lt;&gt;0,IF(OR(H143&gt;20,AND($C143&gt;10^3,TRUNC(($C143-(10^0*INT($C143/(10^0)))))=0)),_e_,IF($C143&gt;10^3,_sp_,"")),"")))&amp;IF(H143=0,"",IF(H143=1,"",IF(MOD(MOD(H143,100),10)=0,"",IF(MOD(H143,100)&lt;20,INDEX(Sml,1,MOD(H143,100)),INDEX(Sml,1,MOD(MOD(H143,100),10)))))) &amp; IF(H143&lt;=1,"",INDEX(Plu,1,1))</f>
        <v>#REF!</v>
      </c>
      <c r="N143" t="e">
        <f>IF($C143&lt;1,"",IF(TRUNC($C143)=1," real",IF(AND($C143&gt;=10^6,TRUNC($C143-10^6*INT($C143/10^6))=0)," de","") &amp; " reais"))</f>
        <v>#REF!</v>
      </c>
      <c r="O143" t="e">
        <f>IF((ROUND($C143-TRUNC($C143),2)*100)=0,"",IF($C143&gt;=1,_e_,"") &amp; IF((ROUND($C143-TRUNC($C143),2)*100)=1,"um centavo",IF((ROUND($C143-TRUNC($C143),2)*100)&gt;=20,INDEX(Dez,1,TRUNC((ROUND($C143-TRUNC($C143),2)*100)/10)) &amp; IF(MOD((ROUND($C143-TRUNC($C143),2)*100),10)&lt;&gt;0,_e_ &amp; INDEX(Sml,1,MOD((ROUND($C143-TRUNC($C143),2)*100),10)),""),INDEX(Sml,1,(ROUND($C143-TRUNC($C143),2)*100))) &amp; " centavos"))</f>
        <v>#REF!</v>
      </c>
      <c r="P143" t="e">
        <f>I143&amp;J143&amp;K143&amp;L143&amp;M143&amp;N143&amp;O143</f>
        <v>#REF!</v>
      </c>
    </row>
    <row r="146" spans="3:16" ht="13.5" thickBot="1"/>
    <row r="147" spans="3:16" ht="13.5" thickBot="1">
      <c r="D147" s="894" t="s">
        <v>297</v>
      </c>
      <c r="E147" s="895"/>
      <c r="F147" s="895"/>
      <c r="G147" s="895"/>
      <c r="H147" s="896"/>
      <c r="I147" s="894" t="s">
        <v>298</v>
      </c>
      <c r="J147" s="895"/>
      <c r="K147" s="895"/>
      <c r="L147" s="895"/>
      <c r="M147" s="896"/>
      <c r="N147" s="897" t="s">
        <v>299</v>
      </c>
      <c r="O147" s="897" t="s">
        <v>300</v>
      </c>
      <c r="P147" s="897" t="s">
        <v>301</v>
      </c>
    </row>
    <row r="148" spans="3:16" ht="26.25" thickBot="1">
      <c r="C148" s="553" t="s">
        <v>302</v>
      </c>
      <c r="D148" s="554" t="s">
        <v>303</v>
      </c>
      <c r="E148" s="555" t="s">
        <v>304</v>
      </c>
      <c r="F148" s="555" t="s">
        <v>305</v>
      </c>
      <c r="G148" s="555" t="s">
        <v>306</v>
      </c>
      <c r="H148" s="556" t="s">
        <v>307</v>
      </c>
      <c r="I148" s="554" t="s">
        <v>303</v>
      </c>
      <c r="J148" s="555" t="s">
        <v>304</v>
      </c>
      <c r="K148" s="555" t="s">
        <v>305</v>
      </c>
      <c r="L148" s="555" t="s">
        <v>306</v>
      </c>
      <c r="M148" s="556" t="s">
        <v>307</v>
      </c>
      <c r="N148" s="898"/>
      <c r="O148" s="898"/>
      <c r="P148" s="898"/>
    </row>
    <row r="149" spans="3:16">
      <c r="C149" s="557" t="e">
        <f>[3]PROPOSTA!#REF!</f>
        <v>#REF!</v>
      </c>
      <c r="D149" t="e">
        <f t="array" ref="D149:H149">TRUNC(($C149-((10^{15,12,9,6,3})*INT($C149/(10^{15,12,9,6,3}))))/10^{12,9,6,3,0})</f>
        <v>#REF!</v>
      </c>
      <c r="E149" t="e">
        <v>#REF!</v>
      </c>
      <c r="F149" t="e">
        <v>#REF!</v>
      </c>
      <c r="G149" t="e">
        <v>#REF!</v>
      </c>
      <c r="H149" t="e">
        <v>#REF!</v>
      </c>
      <c r="I149" t="e">
        <f>IF($C149&lt;10^15,"",IF(OR(D149=1,AND(D149&gt;=100,MOD(D149,100)=0)),IF(TRUNC(($C149-(10^12*INT($C149/(10^12)))))=0,_e_,_sp_),IF(D149&lt;100,"",_sp_)))&amp;IF(D149=1,INDEX(Sng,1,5),IF(D149&lt;100,"",IF(D149=100,OCem,INDEX(Cem,1,TRUNC(D149/100)))))&amp;IF(MOD(D149,100)=0,"",IF(D149=1,"",IF(OR(MOD(D149,100)&gt;=20,MOD(D149,100)=10),IF(OR(D149&gt;100,AND($C149&gt;10^15,TRUNC(($C149-(10^12*INT($C149/(10^12)))))=0)),_e_,IF($C149&gt;10^15,_sp_,"")),"")))&amp;IF(MOD(D149,100)=0,"",IF(D149=1,"",IF(OR(MOD(D149,100)&gt;=20,MOD(D149,100)=10),INDEX(Dez,1,TRUNC(MOD(D149,100)/10)),"")))&amp;IF(MOD(D149,100)=0,"",IF(D149=1,"",IF(MOD(MOD(D149,100),10)&lt;&gt;0,IF(OR(D149&gt;20,AND($C149&gt;10^15,TRUNC(($C149-(10^12*INT($C149/(10^12)))))=0)),_e_,IF($C149&gt;10^15,_sp_,"")),"")))&amp;IF(D149=0,"",IF(D149=1,"",IF(MOD(MOD(D149,100),10)=0,"",IF(MOD(D149,100)&lt;20,INDEX(Sml,1,MOD(D149,100)),INDEX(Sml,1,MOD(MOD(D149,100),10)))))) &amp; IF(D149&lt;=1,"",INDEX(Plu,1,5))</f>
        <v>#REF!</v>
      </c>
      <c r="J149" t="e">
        <f>IF($C149&lt;10^12,"",IF(OR(E149=1,AND(E149&gt;=100,MOD(E149,100)=0)),IF(TRUNC(($C149-(10^9*INT($C149/(10^9)))))=0,_e_,_sp_),IF(E149&lt;100,"",_sp_)))&amp;IF(E149=1,INDEX(Sng,1,4),IF(E149&lt;100,"",IF(E149=100,OCem,INDEX(Cem,1,TRUNC(E149/100)))))&amp;IF(MOD(E149,100)=0,"",IF(E149=1,"",IF(OR(MOD(E149,100)&gt;=20,MOD(E149,100)=10),IF(OR(E149&gt;100,AND($C149&gt;10^12,TRUNC(($C149-(10^9*INT($C149/(10^9)))))=0)),_e_,IF($C149&gt;10^12,_sp_,"")),"")))&amp;IF(MOD(E149,100)=0,"",IF(E149=1,"",IF(OR(MOD(E149,100)&gt;=20,MOD(E149,100)=10),INDEX(Dez,1,TRUNC(MOD(E149,100)/10)),"")))&amp;IF(MOD(E149,100)=0,"",IF(E149=1,"",IF(MOD(MOD(E149,100),10)&lt;&gt;0,IF(OR(E149&gt;20,AND($C149&gt;10^12,TRUNC(($C149-(10^9*INT($C149/(10^9)))))=0)),_e_,IF($C149&gt;10^12,_sp_,"")),"")))&amp;IF(E149=0,"",IF(E149=1,"",IF(MOD(MOD(E149,100),10)=0,"",IF(MOD(E149,100)&lt;20,INDEX(Sml,1,MOD(E149,100)),INDEX(Sml,1,MOD(MOD(E149,100),10)))))) &amp; IF(E149&lt;=1,"",INDEX(Plu,1,4))</f>
        <v>#REF!</v>
      </c>
      <c r="K149" t="e">
        <f>IF($C149&lt;10^9,"",IF(OR(F149=1,AND(F149&gt;=100,MOD(F149,100)=0)),IF(TRUNC(($C149-(10^6*INT($C149/(10^6)))))=0,_e_,_sp_),IF(F149&lt;100,"",_sp_)))&amp;IF(F149=1,INDEX(Sng,1,3),IF(F149&lt;100,"",IF(F149=100,OCem,INDEX(Cem,1,TRUNC(F149/100)))))&amp;IF(MOD(F149,100)=0,"",IF(F149=1,"",IF(OR(MOD(F149,100)&gt;=20,MOD(F149,100)=10),IF(OR(F149&gt;100,AND($C149&gt;10^9,TRUNC(($C149-(10^6*INT($C149/(10^6)))))=0)),_e_,IF($C149&gt;10^9,_sp_,"")),"")))&amp;IF(MOD(F149,100)=0,"",IF(F149=1,"",IF(OR(MOD(F149,100)&gt;=20,MOD(F149,100)=10),INDEX(Dez,1,TRUNC(MOD(F149,100)/10)),"")))&amp;IF(MOD(F149,100)=0,"",IF(F149=1,"",IF(MOD(MOD(F149,100),10)&lt;&gt;0,IF(OR(F149&gt;20,AND($C149&gt;10^9,TRUNC(($C149-(10^6*INT($C149/(10^6)))))=0)),_e_,IF($C149&gt;10^9,_sp_,"")),"")))&amp;IF(F149=0,"",IF(F149=1,"",IF(MOD(MOD(F149,100),10)=0,"",IF(MOD(F149,100)&lt;20,INDEX(Sml,1,MOD(F149,100)),INDEX(Sml,1,MOD(MOD(F149,100),10)))))) &amp; IF(F149&lt;=1,"",INDEX(Plu,1,3))</f>
        <v>#REF!</v>
      </c>
      <c r="L149" t="e">
        <f>IF($C149&lt;10^6,"",IF(OR(G149=1,AND(G149&gt;=100,MOD(G149,100)=0)),IF(TRUNC(($C149-(10^3*INT($C149/(10^3)))))=0,_e_,_sp_),IF(G149&lt;100,"",_sp_)))&amp;IF(G149=1,INDEX(Sng,1,2),IF(G149&lt;100,"",IF(G149=100,OCem,INDEX(Cem,1,TRUNC(G149/100)))))&amp;IF(MOD(G149,100)=0,"",IF(G149=1,"",IF(OR(MOD(G149,100)&gt;=20,MOD(G149,100)=10),IF(OR(G149&gt;100,AND($C149&gt;10^6,TRUNC(($C149-(10^3*INT($C149/(10^3)))))=0)),_e_,IF($C149&gt;10^6,_sp_,"")),"")))&amp;IF(MOD(G149,100)=0,"",IF(G149=1,"",IF(OR(MOD(G149,100)&gt;=20,MOD(G149,100)=10),INDEX(Dez,1,TRUNC(MOD(G149,100)/10)),"")))&amp;IF(MOD(G149,100)=0,"",IF(G149=1,"",IF(MOD(MOD(G149,100),10)&lt;&gt;0,IF(OR(G149&gt;20,AND($C149&gt;10^6,TRUNC(($C149-(10^3*INT($C149/(10^3)))))=0)),_e_,IF($C149&gt;10^6,_sp_,"")),"")))&amp;IF(G149=0,"",IF(G149=1,"",IF(MOD(MOD(G149,100),10)=0,"",IF(MOD(G149,100)&lt;20,INDEX(Sml,1,MOD(G149,100)),INDEX(Sml,1,MOD(MOD(G149,100),10)))))) &amp; IF(G149&lt;=1,"",INDEX(Plu,1,2))</f>
        <v>#REF!</v>
      </c>
      <c r="M149" t="e">
        <f>IF($C149&lt;10^3,"",IF(OR(H149=1,AND(H149&gt;=100,MOD(H149,100)=0)),IF(TRUNC(($C149-(10^0*INT($C149/(10^0)))))=0,_e_,_sp_),IF(H149&lt;100,"",_sp_)))&amp;IF(H149=1,INDEX(Sng,1,1),IF(H149&lt;100,"",IF(H149=100,OCem,INDEX(Cem,1,TRUNC(H149/100)))))&amp;IF(MOD(H149,100)=0,"",IF(H149=1,"",IF(OR(MOD(H149,100)&gt;=20,MOD(H149,100)=10),IF(OR(H149&gt;100,AND($C149&gt;10^3,TRUNC(($C149-(10^0*INT($C149/(10^0)))))=0)),_e_,IF($C149&gt;10^3,_sp_,"")),"")))&amp;IF(MOD(H149,100)=0,"",IF(H149=1,"",IF(OR(MOD(H149,100)&gt;=20,MOD(H149,100)=10),INDEX(Dez,1,TRUNC(MOD(H149,100)/10)),"")))&amp;IF(MOD(H149,100)=0,"",IF(H149=1,"",IF(MOD(MOD(H149,100),10)&lt;&gt;0,IF(OR(H149&gt;20,AND($C149&gt;10^3,TRUNC(($C149-(10^0*INT($C149/(10^0)))))=0)),_e_,IF($C149&gt;10^3,_sp_,"")),"")))&amp;IF(H149=0,"",IF(H149=1,"",IF(MOD(MOD(H149,100),10)=0,"",IF(MOD(H149,100)&lt;20,INDEX(Sml,1,MOD(H149,100)),INDEX(Sml,1,MOD(MOD(H149,100),10)))))) &amp; IF(H149&lt;=1,"",INDEX(Plu,1,1))</f>
        <v>#REF!</v>
      </c>
      <c r="N149" t="e">
        <f>IF($C149&lt;1,"",IF(TRUNC($C149)=1," real",IF(AND($C149&gt;=10^6,TRUNC($C149-10^6*INT($C149/10^6))=0)," de","") &amp; " reais"))</f>
        <v>#REF!</v>
      </c>
      <c r="O149" t="e">
        <f>IF((ROUND($C149-TRUNC($C149),2)*100)=0,"",IF($C149&gt;=1,_e_,"") &amp; IF((ROUND($C149-TRUNC($C149),2)*100)=1,"um centavo",IF((ROUND($C149-TRUNC($C149),2)*100)&gt;=20,INDEX(Dez,1,TRUNC((ROUND($C149-TRUNC($C149),2)*100)/10)) &amp; IF(MOD((ROUND($C149-TRUNC($C149),2)*100),10)&lt;&gt;0,_e_ &amp; INDEX(Sml,1,MOD((ROUND($C149-TRUNC($C149),2)*100),10)),""),INDEX(Sml,1,(ROUND($C149-TRUNC($C149),2)*100))) &amp; " centavos"))</f>
        <v>#REF!</v>
      </c>
      <c r="P149" t="e">
        <f>I149&amp;J149&amp;K149&amp;L149&amp;M149&amp;N149&amp;O149</f>
        <v>#REF!</v>
      </c>
    </row>
    <row r="152" spans="3:16" ht="13.5" thickBot="1"/>
    <row r="153" spans="3:16" ht="13.5" thickBot="1">
      <c r="D153" s="558" t="s">
        <v>297</v>
      </c>
      <c r="E153" s="559"/>
      <c r="F153" s="559"/>
      <c r="G153" s="559"/>
      <c r="H153" s="560"/>
      <c r="I153" s="558" t="s">
        <v>298</v>
      </c>
      <c r="J153" s="559"/>
      <c r="K153" s="559"/>
      <c r="L153" s="559"/>
      <c r="M153" s="560"/>
      <c r="N153" s="561" t="s">
        <v>299</v>
      </c>
      <c r="O153" s="561" t="s">
        <v>300</v>
      </c>
      <c r="P153" s="561" t="s">
        <v>301</v>
      </c>
    </row>
    <row r="154" spans="3:16" ht="26.25" thickBot="1">
      <c r="C154" s="553" t="s">
        <v>302</v>
      </c>
      <c r="D154" s="554" t="s">
        <v>303</v>
      </c>
      <c r="E154" s="555" t="s">
        <v>304</v>
      </c>
      <c r="F154" s="555" t="s">
        <v>305</v>
      </c>
      <c r="G154" s="555" t="s">
        <v>306</v>
      </c>
      <c r="H154" s="556" t="s">
        <v>307</v>
      </c>
      <c r="I154" s="554" t="s">
        <v>303</v>
      </c>
      <c r="J154" s="555" t="s">
        <v>304</v>
      </c>
      <c r="K154" s="555" t="s">
        <v>305</v>
      </c>
      <c r="L154" s="555" t="s">
        <v>306</v>
      </c>
      <c r="M154" s="556" t="s">
        <v>307</v>
      </c>
      <c r="N154" s="562"/>
      <c r="O154" s="562"/>
      <c r="P154" s="562"/>
    </row>
    <row r="155" spans="3:16">
      <c r="C155" s="557" t="e">
        <f>[3]PROPOSTA!#REF!</f>
        <v>#REF!</v>
      </c>
      <c r="D155" t="e">
        <f t="array" ref="D155:H155">TRUNC(($C155-((10^{15,12,9,6,3})*INT($C155/(10^{15,12,9,6,3}))))/10^{12,9,6,3,0})</f>
        <v>#REF!</v>
      </c>
      <c r="E155" t="e">
        <v>#REF!</v>
      </c>
      <c r="F155" t="e">
        <v>#REF!</v>
      </c>
      <c r="G155" t="e">
        <v>#REF!</v>
      </c>
      <c r="H155" t="e">
        <v>#REF!</v>
      </c>
      <c r="I155" t="e">
        <f>IF($C155&lt;10^15,"",IF(OR(D155=1,AND(D155&gt;=100,MOD(D155,100)=0)),IF(TRUNC(($C155-(10^12*INT($C155/(10^12)))))=0,_e_,_sp_),IF(D155&lt;100,"",_sp_)))&amp;IF(D155=1,INDEX(Sng,1,5),IF(D155&lt;100,"",IF(D155=100,OCem,INDEX(Cem,1,TRUNC(D155/100)))))&amp;IF(MOD(D155,100)=0,"",IF(D155=1,"",IF(OR(MOD(D155,100)&gt;=20,MOD(D155,100)=10),IF(OR(D155&gt;100,AND($C155&gt;10^15,TRUNC(($C155-(10^12*INT($C155/(10^12)))))=0)),_e_,IF($C155&gt;10^15,_sp_,"")),"")))&amp;IF(MOD(D155,100)=0,"",IF(D155=1,"",IF(OR(MOD(D155,100)&gt;=20,MOD(D155,100)=10),INDEX(Dez,1,TRUNC(MOD(D155,100)/10)),"")))&amp;IF(MOD(D155,100)=0,"",IF(D155=1,"",IF(MOD(MOD(D155,100),10)&lt;&gt;0,IF(OR(D155&gt;20,AND($C155&gt;10^15,TRUNC(($C155-(10^12*INT($C155/(10^12)))))=0)),_e_,IF($C155&gt;10^15,_sp_,"")),"")))&amp;IF(D155=0,"",IF(D155=1,"",IF(MOD(MOD(D155,100),10)=0,"",IF(MOD(D155,100)&lt;20,INDEX(Sml,1,MOD(D155,100)),INDEX(Sml,1,MOD(MOD(D155,100),10)))))) &amp; IF(D155&lt;=1,"",INDEX(Plu,1,5))</f>
        <v>#REF!</v>
      </c>
      <c r="J155" t="e">
        <f>IF($C155&lt;10^12,"",IF(OR(E155=1,AND(E155&gt;=100,MOD(E155,100)=0)),IF(TRUNC(($C155-(10^9*INT($C155/(10^9)))))=0,_e_,_sp_),IF(E155&lt;100,"",_sp_)))&amp;IF(E155=1,INDEX(Sng,1,4),IF(E155&lt;100,"",IF(E155=100,OCem,INDEX(Cem,1,TRUNC(E155/100)))))&amp;IF(MOD(E155,100)=0,"",IF(E155=1,"",IF(OR(MOD(E155,100)&gt;=20,MOD(E155,100)=10),IF(OR(E155&gt;100,AND($C155&gt;10^12,TRUNC(($C155-(10^9*INT($C155/(10^9)))))=0)),_e_,IF($C155&gt;10^12,_sp_,"")),"")))&amp;IF(MOD(E155,100)=0,"",IF(E155=1,"",IF(OR(MOD(E155,100)&gt;=20,MOD(E155,100)=10),INDEX(Dez,1,TRUNC(MOD(E155,100)/10)),"")))&amp;IF(MOD(E155,100)=0,"",IF(E155=1,"",IF(MOD(MOD(E155,100),10)&lt;&gt;0,IF(OR(E155&gt;20,AND($C155&gt;10^12,TRUNC(($C155-(10^9*INT($C155/(10^9)))))=0)),_e_,IF($C155&gt;10^12,_sp_,"")),"")))&amp;IF(E155=0,"",IF(E155=1,"",IF(MOD(MOD(E155,100),10)=0,"",IF(MOD(E155,100)&lt;20,INDEX(Sml,1,MOD(E155,100)),INDEX(Sml,1,MOD(MOD(E155,100),10)))))) &amp; IF(E155&lt;=1,"",INDEX(Plu,1,4))</f>
        <v>#REF!</v>
      </c>
      <c r="K155" t="e">
        <f>IF($C155&lt;10^9,"",IF(OR(F155=1,AND(F155&gt;=100,MOD(F155,100)=0)),IF(TRUNC(($C155-(10^6*INT($C155/(10^6)))))=0,_e_,_sp_),IF(F155&lt;100,"",_sp_)))&amp;IF(F155=1,INDEX(Sng,1,3),IF(F155&lt;100,"",IF(F155=100,OCem,INDEX(Cem,1,TRUNC(F155/100)))))&amp;IF(MOD(F155,100)=0,"",IF(F155=1,"",IF(OR(MOD(F155,100)&gt;=20,MOD(F155,100)=10),IF(OR(F155&gt;100,AND($C155&gt;10^9,TRUNC(($C155-(10^6*INT($C155/(10^6)))))=0)),_e_,IF($C155&gt;10^9,_sp_,"")),"")))&amp;IF(MOD(F155,100)=0,"",IF(F155=1,"",IF(OR(MOD(F155,100)&gt;=20,MOD(F155,100)=10),INDEX(Dez,1,TRUNC(MOD(F155,100)/10)),"")))&amp;IF(MOD(F155,100)=0,"",IF(F155=1,"",IF(MOD(MOD(F155,100),10)&lt;&gt;0,IF(OR(F155&gt;20,AND($C155&gt;10^9,TRUNC(($C155-(10^6*INT($C155/(10^6)))))=0)),_e_,IF($C155&gt;10^9,_sp_,"")),"")))&amp;IF(F155=0,"",IF(F155=1,"",IF(MOD(MOD(F155,100),10)=0,"",IF(MOD(F155,100)&lt;20,INDEX(Sml,1,MOD(F155,100)),INDEX(Sml,1,MOD(MOD(F155,100),10)))))) &amp; IF(F155&lt;=1,"",INDEX(Plu,1,3))</f>
        <v>#REF!</v>
      </c>
      <c r="L155" t="e">
        <f>IF($C155&lt;10^6,"",IF(OR(G155=1,AND(G155&gt;=100,MOD(G155,100)=0)),IF(TRUNC(($C155-(10^3*INT($C155/(10^3)))))=0,_e_,_sp_),IF(G155&lt;100,"",_sp_)))&amp;IF(G155=1,INDEX(Sng,1,2),IF(G155&lt;100,"",IF(G155=100,OCem,INDEX(Cem,1,TRUNC(G155/100)))))&amp;IF(MOD(G155,100)=0,"",IF(G155=1,"",IF(OR(MOD(G155,100)&gt;=20,MOD(G155,100)=10),IF(OR(G155&gt;100,AND($C155&gt;10^6,TRUNC(($C155-(10^3*INT($C155/(10^3)))))=0)),_e_,IF($C155&gt;10^6,_sp_,"")),"")))&amp;IF(MOD(G155,100)=0,"",IF(G155=1,"",IF(OR(MOD(G155,100)&gt;=20,MOD(G155,100)=10),INDEX(Dez,1,TRUNC(MOD(G155,100)/10)),"")))&amp;IF(MOD(G155,100)=0,"",IF(G155=1,"",IF(MOD(MOD(G155,100),10)&lt;&gt;0,IF(OR(G155&gt;20,AND($C155&gt;10^6,TRUNC(($C155-(10^3*INT($C155/(10^3)))))=0)),_e_,IF($C155&gt;10^6,_sp_,"")),"")))&amp;IF(G155=0,"",IF(G155=1,"",IF(MOD(MOD(G155,100),10)=0,"",IF(MOD(G155,100)&lt;20,INDEX(Sml,1,MOD(G155,100)),INDEX(Sml,1,MOD(MOD(G155,100),10)))))) &amp; IF(G155&lt;=1,"",INDEX(Plu,1,2))</f>
        <v>#REF!</v>
      </c>
      <c r="M155" t="e">
        <f>IF($C155&lt;10^3,"",IF(OR(H155=1,AND(H155&gt;=100,MOD(H155,100)=0)),IF(TRUNC(($C155-(10^0*INT($C155/(10^0)))))=0,_e_,_sp_),IF(H155&lt;100,"",_sp_)))&amp;IF(H155=1,INDEX(Sng,1,1),IF(H155&lt;100,"",IF(H155=100,OCem,INDEX(Cem,1,TRUNC(H155/100)))))&amp;IF(MOD(H155,100)=0,"",IF(H155=1,"",IF(OR(MOD(H155,100)&gt;=20,MOD(H155,100)=10),IF(OR(H155&gt;100,AND($C155&gt;10^3,TRUNC(($C155-(10^0*INT($C155/(10^0)))))=0)),_e_,IF($C155&gt;10^3,_sp_,"")),"")))&amp;IF(MOD(H155,100)=0,"",IF(H155=1,"",IF(OR(MOD(H155,100)&gt;=20,MOD(H155,100)=10),INDEX(Dez,1,TRUNC(MOD(H155,100)/10)),"")))&amp;IF(MOD(H155,100)=0,"",IF(H155=1,"",IF(MOD(MOD(H155,100),10)&lt;&gt;0,IF(OR(H155&gt;20,AND($C155&gt;10^3,TRUNC(($C155-(10^0*INT($C155/(10^0)))))=0)),_e_,IF($C155&gt;10^3,_sp_,"")),"")))&amp;IF(H155=0,"",IF(H155=1,"",IF(MOD(MOD(H155,100),10)=0,"",IF(MOD(H155,100)&lt;20,INDEX(Sml,1,MOD(H155,100)),INDEX(Sml,1,MOD(MOD(H155,100),10)))))) &amp; IF(H155&lt;=1,"",INDEX(Plu,1,1))</f>
        <v>#REF!</v>
      </c>
      <c r="N155" t="e">
        <f>IF($C155&lt;1,"",IF(TRUNC($C155)=1," real",IF(AND($C155&gt;=10^6,TRUNC($C155-10^6*INT($C155/10^6))=0)," de","") &amp; " reais"))</f>
        <v>#REF!</v>
      </c>
      <c r="O155" t="e">
        <f>IF((ROUND($C155-TRUNC($C155),2)*100)=0,"",IF($C155&gt;=1,_e_,"") &amp; IF((ROUND($C155-TRUNC($C155),2)*100)=1,"um centavo",IF((ROUND($C155-TRUNC($C155),2)*100)&gt;=20,INDEX(Dez,1,TRUNC((ROUND($C155-TRUNC($C155),2)*100)/10)) &amp; IF(MOD((ROUND($C155-TRUNC($C155),2)*100),10)&lt;&gt;0,_e_ &amp; INDEX(Sml,1,MOD((ROUND($C155-TRUNC($C155),2)*100),10)),""),INDEX(Sml,1,(ROUND($C155-TRUNC($C155),2)*100))) &amp; " centavos"))</f>
        <v>#REF!</v>
      </c>
      <c r="P155" t="e">
        <f>I155&amp;J155&amp;K155&amp;L155&amp;M155&amp;N155&amp;O155</f>
        <v>#REF!</v>
      </c>
    </row>
    <row r="158" spans="3:16" ht="13.5" thickBot="1"/>
    <row r="159" spans="3:16" ht="13.5" thickBot="1">
      <c r="D159" s="894" t="s">
        <v>297</v>
      </c>
      <c r="E159" s="895"/>
      <c r="F159" s="895"/>
      <c r="G159" s="895"/>
      <c r="H159" s="896"/>
      <c r="I159" s="894" t="s">
        <v>298</v>
      </c>
      <c r="J159" s="895"/>
      <c r="K159" s="895"/>
      <c r="L159" s="895"/>
      <c r="M159" s="896"/>
      <c r="N159" s="897" t="s">
        <v>299</v>
      </c>
      <c r="O159" s="897" t="s">
        <v>300</v>
      </c>
      <c r="P159" s="897" t="s">
        <v>301</v>
      </c>
    </row>
    <row r="160" spans="3:16" ht="26.25" thickBot="1">
      <c r="C160" s="553" t="s">
        <v>302</v>
      </c>
      <c r="D160" s="554" t="s">
        <v>303</v>
      </c>
      <c r="E160" s="555" t="s">
        <v>304</v>
      </c>
      <c r="F160" s="555" t="s">
        <v>305</v>
      </c>
      <c r="G160" s="555" t="s">
        <v>306</v>
      </c>
      <c r="H160" s="556" t="s">
        <v>307</v>
      </c>
      <c r="I160" s="554" t="s">
        <v>303</v>
      </c>
      <c r="J160" s="555" t="s">
        <v>304</v>
      </c>
      <c r="K160" s="555" t="s">
        <v>305</v>
      </c>
      <c r="L160" s="555" t="s">
        <v>306</v>
      </c>
      <c r="M160" s="556" t="s">
        <v>307</v>
      </c>
      <c r="N160" s="898"/>
      <c r="O160" s="898"/>
      <c r="P160" s="898"/>
    </row>
    <row r="161" spans="3:16">
      <c r="C161" s="557" t="e">
        <f>[3]PROPOSTA!#REF!</f>
        <v>#REF!</v>
      </c>
      <c r="D161" t="e">
        <f t="array" ref="D161:H161">TRUNC(($C161-((10^{15,12,9,6,3})*INT($C161/(10^{15,12,9,6,3}))))/10^{12,9,6,3,0})</f>
        <v>#REF!</v>
      </c>
      <c r="E161" t="e">
        <v>#REF!</v>
      </c>
      <c r="F161" t="e">
        <v>#REF!</v>
      </c>
      <c r="G161" t="e">
        <v>#REF!</v>
      </c>
      <c r="H161" t="e">
        <v>#REF!</v>
      </c>
      <c r="I161" t="e">
        <f>IF($C161&lt;10^15,"",IF(OR(D161=1,AND(D161&gt;=100,MOD(D161,100)=0)),IF(TRUNC(($C161-(10^12*INT($C161/(10^12)))))=0,_e_,_sp_),IF(D161&lt;100,"",_sp_)))&amp;IF(D161=1,INDEX(Sng,1,5),IF(D161&lt;100,"",IF(D161=100,OCem,INDEX(Cem,1,TRUNC(D161/100)))))&amp;IF(MOD(D161,100)=0,"",IF(D161=1,"",IF(OR(MOD(D161,100)&gt;=20,MOD(D161,100)=10),IF(OR(D161&gt;100,AND($C161&gt;10^15,TRUNC(($C161-(10^12*INT($C161/(10^12)))))=0)),_e_,IF($C161&gt;10^15,_sp_,"")),"")))&amp;IF(MOD(D161,100)=0,"",IF(D161=1,"",IF(OR(MOD(D161,100)&gt;=20,MOD(D161,100)=10),INDEX(Dez,1,TRUNC(MOD(D161,100)/10)),"")))&amp;IF(MOD(D161,100)=0,"",IF(D161=1,"",IF(MOD(MOD(D161,100),10)&lt;&gt;0,IF(OR(D161&gt;20,AND($C161&gt;10^15,TRUNC(($C161-(10^12*INT($C161/(10^12)))))=0)),_e_,IF($C161&gt;10^15,_sp_,"")),"")))&amp;IF(D161=0,"",IF(D161=1,"",IF(MOD(MOD(D161,100),10)=0,"",IF(MOD(D161,100)&lt;20,INDEX(Sml,1,MOD(D161,100)),INDEX(Sml,1,MOD(MOD(D161,100),10)))))) &amp; IF(D161&lt;=1,"",INDEX(Plu,1,5))</f>
        <v>#REF!</v>
      </c>
      <c r="J161" t="e">
        <f>IF($C161&lt;10^12,"",IF(OR(E161=1,AND(E161&gt;=100,MOD(E161,100)=0)),IF(TRUNC(($C161-(10^9*INT($C161/(10^9)))))=0,_e_,_sp_),IF(E161&lt;100,"",_sp_)))&amp;IF(E161=1,INDEX(Sng,1,4),IF(E161&lt;100,"",IF(E161=100,OCem,INDEX(Cem,1,TRUNC(E161/100)))))&amp;IF(MOD(E161,100)=0,"",IF(E161=1,"",IF(OR(MOD(E161,100)&gt;=20,MOD(E161,100)=10),IF(OR(E161&gt;100,AND($C161&gt;10^12,TRUNC(($C161-(10^9*INT($C161/(10^9)))))=0)),_e_,IF($C161&gt;10^12,_sp_,"")),"")))&amp;IF(MOD(E161,100)=0,"",IF(E161=1,"",IF(OR(MOD(E161,100)&gt;=20,MOD(E161,100)=10),INDEX(Dez,1,TRUNC(MOD(E161,100)/10)),"")))&amp;IF(MOD(E161,100)=0,"",IF(E161=1,"",IF(MOD(MOD(E161,100),10)&lt;&gt;0,IF(OR(E161&gt;20,AND($C161&gt;10^12,TRUNC(($C161-(10^9*INT($C161/(10^9)))))=0)),_e_,IF($C161&gt;10^12,_sp_,"")),"")))&amp;IF(E161=0,"",IF(E161=1,"",IF(MOD(MOD(E161,100),10)=0,"",IF(MOD(E161,100)&lt;20,INDEX(Sml,1,MOD(E161,100)),INDEX(Sml,1,MOD(MOD(E161,100),10)))))) &amp; IF(E161&lt;=1,"",INDEX(Plu,1,4))</f>
        <v>#REF!</v>
      </c>
      <c r="K161" t="e">
        <f>IF($C161&lt;10^9,"",IF(OR(F161=1,AND(F161&gt;=100,MOD(F161,100)=0)),IF(TRUNC(($C161-(10^6*INT($C161/(10^6)))))=0,_e_,_sp_),IF(F161&lt;100,"",_sp_)))&amp;IF(F161=1,INDEX(Sng,1,3),IF(F161&lt;100,"",IF(F161=100,OCem,INDEX(Cem,1,TRUNC(F161/100)))))&amp;IF(MOD(F161,100)=0,"",IF(F161=1,"",IF(OR(MOD(F161,100)&gt;=20,MOD(F161,100)=10),IF(OR(F161&gt;100,AND($C161&gt;10^9,TRUNC(($C161-(10^6*INT($C161/(10^6)))))=0)),_e_,IF($C161&gt;10^9,_sp_,"")),"")))&amp;IF(MOD(F161,100)=0,"",IF(F161=1,"",IF(OR(MOD(F161,100)&gt;=20,MOD(F161,100)=10),INDEX(Dez,1,TRUNC(MOD(F161,100)/10)),"")))&amp;IF(MOD(F161,100)=0,"",IF(F161=1,"",IF(MOD(MOD(F161,100),10)&lt;&gt;0,IF(OR(F161&gt;20,AND($C161&gt;10^9,TRUNC(($C161-(10^6*INT($C161/(10^6)))))=0)),_e_,IF($C161&gt;10^9,_sp_,"")),"")))&amp;IF(F161=0,"",IF(F161=1,"",IF(MOD(MOD(F161,100),10)=0,"",IF(MOD(F161,100)&lt;20,INDEX(Sml,1,MOD(F161,100)),INDEX(Sml,1,MOD(MOD(F161,100),10)))))) &amp; IF(F161&lt;=1,"",INDEX(Plu,1,3))</f>
        <v>#REF!</v>
      </c>
      <c r="L161" t="e">
        <f>IF($C161&lt;10^6,"",IF(OR(G161=1,AND(G161&gt;=100,MOD(G161,100)=0)),IF(TRUNC(($C161-(10^3*INT($C161/(10^3)))))=0,_e_,_sp_),IF(G161&lt;100,"",_sp_)))&amp;IF(G161=1,INDEX(Sng,1,2),IF(G161&lt;100,"",IF(G161=100,OCem,INDEX(Cem,1,TRUNC(G161/100)))))&amp;IF(MOD(G161,100)=0,"",IF(G161=1,"",IF(OR(MOD(G161,100)&gt;=20,MOD(G161,100)=10),IF(OR(G161&gt;100,AND($C161&gt;10^6,TRUNC(($C161-(10^3*INT($C161/(10^3)))))=0)),_e_,IF($C161&gt;10^6,_sp_,"")),"")))&amp;IF(MOD(G161,100)=0,"",IF(G161=1,"",IF(OR(MOD(G161,100)&gt;=20,MOD(G161,100)=10),INDEX(Dez,1,TRUNC(MOD(G161,100)/10)),"")))&amp;IF(MOD(G161,100)=0,"",IF(G161=1,"",IF(MOD(MOD(G161,100),10)&lt;&gt;0,IF(OR(G161&gt;20,AND($C161&gt;10^6,TRUNC(($C161-(10^3*INT($C161/(10^3)))))=0)),_e_,IF($C161&gt;10^6,_sp_,"")),"")))&amp;IF(G161=0,"",IF(G161=1,"",IF(MOD(MOD(G161,100),10)=0,"",IF(MOD(G161,100)&lt;20,INDEX(Sml,1,MOD(G161,100)),INDEX(Sml,1,MOD(MOD(G161,100),10)))))) &amp; IF(G161&lt;=1,"",INDEX(Plu,1,2))</f>
        <v>#REF!</v>
      </c>
      <c r="M161" t="e">
        <f>IF($C161&lt;10^3,"",IF(OR(H161=1,AND(H161&gt;=100,MOD(H161,100)=0)),IF(TRUNC(($C161-(10^0*INT($C161/(10^0)))))=0,_e_,_sp_),IF(H161&lt;100,"",_sp_)))&amp;IF(H161=1,INDEX(Sng,1,1),IF(H161&lt;100,"",IF(H161=100,OCem,INDEX(Cem,1,TRUNC(H161/100)))))&amp;IF(MOD(H161,100)=0,"",IF(H161=1,"",IF(OR(MOD(H161,100)&gt;=20,MOD(H161,100)=10),IF(OR(H161&gt;100,AND($C161&gt;10^3,TRUNC(($C161-(10^0*INT($C161/(10^0)))))=0)),_e_,IF($C161&gt;10^3,_sp_,"")),"")))&amp;IF(MOD(H161,100)=0,"",IF(H161=1,"",IF(OR(MOD(H161,100)&gt;=20,MOD(H161,100)=10),INDEX(Dez,1,TRUNC(MOD(H161,100)/10)),"")))&amp;IF(MOD(H161,100)=0,"",IF(H161=1,"",IF(MOD(MOD(H161,100),10)&lt;&gt;0,IF(OR(H161&gt;20,AND($C161&gt;10^3,TRUNC(($C161-(10^0*INT($C161/(10^0)))))=0)),_e_,IF($C161&gt;10^3,_sp_,"")),"")))&amp;IF(H161=0,"",IF(H161=1,"",IF(MOD(MOD(H161,100),10)=0,"",IF(MOD(H161,100)&lt;20,INDEX(Sml,1,MOD(H161,100)),INDEX(Sml,1,MOD(MOD(H161,100),10)))))) &amp; IF(H161&lt;=1,"",INDEX(Plu,1,1))</f>
        <v>#REF!</v>
      </c>
      <c r="N161" t="e">
        <f>IF($C161&lt;1,"",IF(TRUNC($C161)=1," real",IF(AND($C161&gt;=10^6,TRUNC($C161-10^6*INT($C161/10^6))=0)," de","") &amp; " reais"))</f>
        <v>#REF!</v>
      </c>
      <c r="O161" t="e">
        <f>IF((ROUND($C161-TRUNC($C161),2)*100)=0,"",IF($C161&gt;=1,_e_,"") &amp; IF((ROUND($C161-TRUNC($C161),2)*100)=1,"um centavo",IF((ROUND($C161-TRUNC($C161),2)*100)&gt;=20,INDEX(Dez,1,TRUNC((ROUND($C161-TRUNC($C161),2)*100)/10)) &amp; IF(MOD((ROUND($C161-TRUNC($C161),2)*100),10)&lt;&gt;0,_e_ &amp; INDEX(Sml,1,MOD((ROUND($C161-TRUNC($C161),2)*100),10)),""),INDEX(Sml,1,(ROUND($C161-TRUNC($C161),2)*100))) &amp; " centavos"))</f>
        <v>#REF!</v>
      </c>
      <c r="P161" t="e">
        <f>I161&amp;J161&amp;K161&amp;L161&amp;M161&amp;N161&amp;O161</f>
        <v>#REF!</v>
      </c>
    </row>
    <row r="164" spans="3:16" ht="13.5" thickBot="1"/>
    <row r="165" spans="3:16" ht="13.5" thickBot="1">
      <c r="D165" s="558" t="s">
        <v>297</v>
      </c>
      <c r="E165" s="559"/>
      <c r="F165" s="559"/>
      <c r="G165" s="559"/>
      <c r="H165" s="560"/>
      <c r="I165" s="558" t="s">
        <v>298</v>
      </c>
      <c r="J165" s="559"/>
      <c r="K165" s="559"/>
      <c r="L165" s="559"/>
      <c r="M165" s="560"/>
      <c r="N165" s="561" t="s">
        <v>299</v>
      </c>
      <c r="O165" s="561" t="s">
        <v>300</v>
      </c>
      <c r="P165" s="561" t="s">
        <v>301</v>
      </c>
    </row>
    <row r="166" spans="3:16" ht="26.25" thickBot="1">
      <c r="C166" s="553" t="s">
        <v>302</v>
      </c>
      <c r="D166" s="554" t="s">
        <v>303</v>
      </c>
      <c r="E166" s="555" t="s">
        <v>304</v>
      </c>
      <c r="F166" s="555" t="s">
        <v>305</v>
      </c>
      <c r="G166" s="555" t="s">
        <v>306</v>
      </c>
      <c r="H166" s="556" t="s">
        <v>307</v>
      </c>
      <c r="I166" s="554" t="s">
        <v>303</v>
      </c>
      <c r="J166" s="555" t="s">
        <v>304</v>
      </c>
      <c r="K166" s="555" t="s">
        <v>305</v>
      </c>
      <c r="L166" s="555" t="s">
        <v>306</v>
      </c>
      <c r="M166" s="556" t="s">
        <v>307</v>
      </c>
      <c r="N166" s="562"/>
      <c r="O166" s="562"/>
      <c r="P166" s="562"/>
    </row>
    <row r="167" spans="3:16">
      <c r="C167" s="557" t="e">
        <f>[3]PROPOSTA!#REF!</f>
        <v>#REF!</v>
      </c>
      <c r="D167" t="e">
        <f t="array" ref="D167:H167">TRUNC(($C167-((10^{15,12,9,6,3})*INT($C167/(10^{15,12,9,6,3}))))/10^{12,9,6,3,0})</f>
        <v>#REF!</v>
      </c>
      <c r="E167" t="e">
        <v>#REF!</v>
      </c>
      <c r="F167" t="e">
        <v>#REF!</v>
      </c>
      <c r="G167" t="e">
        <v>#REF!</v>
      </c>
      <c r="H167" t="e">
        <v>#REF!</v>
      </c>
      <c r="I167" t="e">
        <f>IF($C167&lt;10^15,"",IF(OR(D167=1,AND(D167&gt;=100,MOD(D167,100)=0)),IF(TRUNC(($C167-(10^12*INT($C167/(10^12)))))=0,_e_,_sp_),IF(D167&lt;100,"",_sp_)))&amp;IF(D167=1,INDEX(Sng,1,5),IF(D167&lt;100,"",IF(D167=100,OCem,INDEX(Cem,1,TRUNC(D167/100)))))&amp;IF(MOD(D167,100)=0,"",IF(D167=1,"",IF(OR(MOD(D167,100)&gt;=20,MOD(D167,100)=10),IF(OR(D167&gt;100,AND($C167&gt;10^15,TRUNC(($C167-(10^12*INT($C167/(10^12)))))=0)),_e_,IF($C167&gt;10^15,_sp_,"")),"")))&amp;IF(MOD(D167,100)=0,"",IF(D167=1,"",IF(OR(MOD(D167,100)&gt;=20,MOD(D167,100)=10),INDEX(Dez,1,TRUNC(MOD(D167,100)/10)),"")))&amp;IF(MOD(D167,100)=0,"",IF(D167=1,"",IF(MOD(MOD(D167,100),10)&lt;&gt;0,IF(OR(D167&gt;20,AND($C167&gt;10^15,TRUNC(($C167-(10^12*INT($C167/(10^12)))))=0)),_e_,IF($C167&gt;10^15,_sp_,"")),"")))&amp;IF(D167=0,"",IF(D167=1,"",IF(MOD(MOD(D167,100),10)=0,"",IF(MOD(D167,100)&lt;20,INDEX(Sml,1,MOD(D167,100)),INDEX(Sml,1,MOD(MOD(D167,100),10)))))) &amp; IF(D167&lt;=1,"",INDEX(Plu,1,5))</f>
        <v>#REF!</v>
      </c>
      <c r="J167" t="e">
        <f>IF($C167&lt;10^12,"",IF(OR(E167=1,AND(E167&gt;=100,MOD(E167,100)=0)),IF(TRUNC(($C167-(10^9*INT($C167/(10^9)))))=0,_e_,_sp_),IF(E167&lt;100,"",_sp_)))&amp;IF(E167=1,INDEX(Sng,1,4),IF(E167&lt;100,"",IF(E167=100,OCem,INDEX(Cem,1,TRUNC(E167/100)))))&amp;IF(MOD(E167,100)=0,"",IF(E167=1,"",IF(OR(MOD(E167,100)&gt;=20,MOD(E167,100)=10),IF(OR(E167&gt;100,AND($C167&gt;10^12,TRUNC(($C167-(10^9*INT($C167/(10^9)))))=0)),_e_,IF($C167&gt;10^12,_sp_,"")),"")))&amp;IF(MOD(E167,100)=0,"",IF(E167=1,"",IF(OR(MOD(E167,100)&gt;=20,MOD(E167,100)=10),INDEX(Dez,1,TRUNC(MOD(E167,100)/10)),"")))&amp;IF(MOD(E167,100)=0,"",IF(E167=1,"",IF(MOD(MOD(E167,100),10)&lt;&gt;0,IF(OR(E167&gt;20,AND($C167&gt;10^12,TRUNC(($C167-(10^9*INT($C167/(10^9)))))=0)),_e_,IF($C167&gt;10^12,_sp_,"")),"")))&amp;IF(E167=0,"",IF(E167=1,"",IF(MOD(MOD(E167,100),10)=0,"",IF(MOD(E167,100)&lt;20,INDEX(Sml,1,MOD(E167,100)),INDEX(Sml,1,MOD(MOD(E167,100),10)))))) &amp; IF(E167&lt;=1,"",INDEX(Plu,1,4))</f>
        <v>#REF!</v>
      </c>
      <c r="K167" t="e">
        <f>IF($C167&lt;10^9,"",IF(OR(F167=1,AND(F167&gt;=100,MOD(F167,100)=0)),IF(TRUNC(($C167-(10^6*INT($C167/(10^6)))))=0,_e_,_sp_),IF(F167&lt;100,"",_sp_)))&amp;IF(F167=1,INDEX(Sng,1,3),IF(F167&lt;100,"",IF(F167=100,OCem,INDEX(Cem,1,TRUNC(F167/100)))))&amp;IF(MOD(F167,100)=0,"",IF(F167=1,"",IF(OR(MOD(F167,100)&gt;=20,MOD(F167,100)=10),IF(OR(F167&gt;100,AND($C167&gt;10^9,TRUNC(($C167-(10^6*INT($C167/(10^6)))))=0)),_e_,IF($C167&gt;10^9,_sp_,"")),"")))&amp;IF(MOD(F167,100)=0,"",IF(F167=1,"",IF(OR(MOD(F167,100)&gt;=20,MOD(F167,100)=10),INDEX(Dez,1,TRUNC(MOD(F167,100)/10)),"")))&amp;IF(MOD(F167,100)=0,"",IF(F167=1,"",IF(MOD(MOD(F167,100),10)&lt;&gt;0,IF(OR(F167&gt;20,AND($C167&gt;10^9,TRUNC(($C167-(10^6*INT($C167/(10^6)))))=0)),_e_,IF($C167&gt;10^9,_sp_,"")),"")))&amp;IF(F167=0,"",IF(F167=1,"",IF(MOD(MOD(F167,100),10)=0,"",IF(MOD(F167,100)&lt;20,INDEX(Sml,1,MOD(F167,100)),INDEX(Sml,1,MOD(MOD(F167,100),10)))))) &amp; IF(F167&lt;=1,"",INDEX(Plu,1,3))</f>
        <v>#REF!</v>
      </c>
      <c r="L167" t="e">
        <f>IF($C167&lt;10^6,"",IF(OR(G167=1,AND(G167&gt;=100,MOD(G167,100)=0)),IF(TRUNC(($C167-(10^3*INT($C167/(10^3)))))=0,_e_,_sp_),IF(G167&lt;100,"",_sp_)))&amp;IF(G167=1,INDEX(Sng,1,2),IF(G167&lt;100,"",IF(G167=100,OCem,INDEX(Cem,1,TRUNC(G167/100)))))&amp;IF(MOD(G167,100)=0,"",IF(G167=1,"",IF(OR(MOD(G167,100)&gt;=20,MOD(G167,100)=10),IF(OR(G167&gt;100,AND($C167&gt;10^6,TRUNC(($C167-(10^3*INT($C167/(10^3)))))=0)),_e_,IF($C167&gt;10^6,_sp_,"")),"")))&amp;IF(MOD(G167,100)=0,"",IF(G167=1,"",IF(OR(MOD(G167,100)&gt;=20,MOD(G167,100)=10),INDEX(Dez,1,TRUNC(MOD(G167,100)/10)),"")))&amp;IF(MOD(G167,100)=0,"",IF(G167=1,"",IF(MOD(MOD(G167,100),10)&lt;&gt;0,IF(OR(G167&gt;20,AND($C167&gt;10^6,TRUNC(($C167-(10^3*INT($C167/(10^3)))))=0)),_e_,IF($C167&gt;10^6,_sp_,"")),"")))&amp;IF(G167=0,"",IF(G167=1,"",IF(MOD(MOD(G167,100),10)=0,"",IF(MOD(G167,100)&lt;20,INDEX(Sml,1,MOD(G167,100)),INDEX(Sml,1,MOD(MOD(G167,100),10)))))) &amp; IF(G167&lt;=1,"",INDEX(Plu,1,2))</f>
        <v>#REF!</v>
      </c>
      <c r="M167" t="e">
        <f>IF($C167&lt;10^3,"",IF(OR(H167=1,AND(H167&gt;=100,MOD(H167,100)=0)),IF(TRUNC(($C167-(10^0*INT($C167/(10^0)))))=0,_e_,_sp_),IF(H167&lt;100,"",_sp_)))&amp;IF(H167=1,INDEX(Sng,1,1),IF(H167&lt;100,"",IF(H167=100,OCem,INDEX(Cem,1,TRUNC(H167/100)))))&amp;IF(MOD(H167,100)=0,"",IF(H167=1,"",IF(OR(MOD(H167,100)&gt;=20,MOD(H167,100)=10),IF(OR(H167&gt;100,AND($C167&gt;10^3,TRUNC(($C167-(10^0*INT($C167/(10^0)))))=0)),_e_,IF($C167&gt;10^3,_sp_,"")),"")))&amp;IF(MOD(H167,100)=0,"",IF(H167=1,"",IF(OR(MOD(H167,100)&gt;=20,MOD(H167,100)=10),INDEX(Dez,1,TRUNC(MOD(H167,100)/10)),"")))&amp;IF(MOD(H167,100)=0,"",IF(H167=1,"",IF(MOD(MOD(H167,100),10)&lt;&gt;0,IF(OR(H167&gt;20,AND($C167&gt;10^3,TRUNC(($C167-(10^0*INT($C167/(10^0)))))=0)),_e_,IF($C167&gt;10^3,_sp_,"")),"")))&amp;IF(H167=0,"",IF(H167=1,"",IF(MOD(MOD(H167,100),10)=0,"",IF(MOD(H167,100)&lt;20,INDEX(Sml,1,MOD(H167,100)),INDEX(Sml,1,MOD(MOD(H167,100),10)))))) &amp; IF(H167&lt;=1,"",INDEX(Plu,1,1))</f>
        <v>#REF!</v>
      </c>
      <c r="N167" t="e">
        <f>IF($C167&lt;1,"",IF(TRUNC($C167)=1," real",IF(AND($C167&gt;=10^6,TRUNC($C167-10^6*INT($C167/10^6))=0)," de","") &amp; " reais"))</f>
        <v>#REF!</v>
      </c>
      <c r="O167" t="e">
        <f>IF((ROUND($C167-TRUNC($C167),2)*100)=0,"",IF($C167&gt;=1,_e_,"") &amp; IF((ROUND($C167-TRUNC($C167),2)*100)=1,"um centavo",IF((ROUND($C167-TRUNC($C167),2)*100)&gt;=20,INDEX(Dez,1,TRUNC((ROUND($C167-TRUNC($C167),2)*100)/10)) &amp; IF(MOD((ROUND($C167-TRUNC($C167),2)*100),10)&lt;&gt;0,_e_ &amp; INDEX(Sml,1,MOD((ROUND($C167-TRUNC($C167),2)*100),10)),""),INDEX(Sml,1,(ROUND($C167-TRUNC($C167),2)*100))) &amp; " centavos"))</f>
        <v>#REF!</v>
      </c>
      <c r="P167" t="e">
        <f>I167&amp;J167&amp;K167&amp;L167&amp;M167&amp;N167&amp;O167</f>
        <v>#REF!</v>
      </c>
    </row>
    <row r="169" spans="3:16" ht="13.5" thickBot="1"/>
    <row r="170" spans="3:16" ht="13.5" thickBot="1">
      <c r="D170" s="894" t="s">
        <v>297</v>
      </c>
      <c r="E170" s="895"/>
      <c r="F170" s="895"/>
      <c r="G170" s="895"/>
      <c r="H170" s="896"/>
      <c r="I170" s="894" t="s">
        <v>298</v>
      </c>
      <c r="J170" s="895"/>
      <c r="K170" s="895"/>
      <c r="L170" s="895"/>
      <c r="M170" s="896"/>
      <c r="N170" s="897" t="s">
        <v>299</v>
      </c>
      <c r="O170" s="897" t="s">
        <v>300</v>
      </c>
      <c r="P170" s="897" t="s">
        <v>301</v>
      </c>
    </row>
    <row r="171" spans="3:16" ht="26.25" thickBot="1">
      <c r="C171" s="553" t="s">
        <v>302</v>
      </c>
      <c r="D171" s="554" t="s">
        <v>303</v>
      </c>
      <c r="E171" s="555" t="s">
        <v>304</v>
      </c>
      <c r="F171" s="555" t="s">
        <v>305</v>
      </c>
      <c r="G171" s="555" t="s">
        <v>306</v>
      </c>
      <c r="H171" s="556" t="s">
        <v>307</v>
      </c>
      <c r="I171" s="554" t="s">
        <v>303</v>
      </c>
      <c r="J171" s="555" t="s">
        <v>304</v>
      </c>
      <c r="K171" s="555" t="s">
        <v>305</v>
      </c>
      <c r="L171" s="555" t="s">
        <v>306</v>
      </c>
      <c r="M171" s="556" t="s">
        <v>307</v>
      </c>
      <c r="N171" s="898"/>
      <c r="O171" s="898"/>
      <c r="P171" s="898"/>
    </row>
    <row r="172" spans="3:16">
      <c r="C172" s="557" t="e">
        <f>[3]PROPOSTA!#REF!</f>
        <v>#REF!</v>
      </c>
      <c r="D172" t="e">
        <f t="array" ref="D172:H172">TRUNC(($C172-((10^{15,12,9,6,3})*INT($C172/(10^{15,12,9,6,3}))))/10^{12,9,6,3,0})</f>
        <v>#REF!</v>
      </c>
      <c r="E172" t="e">
        <v>#REF!</v>
      </c>
      <c r="F172" t="e">
        <v>#REF!</v>
      </c>
      <c r="G172" t="e">
        <v>#REF!</v>
      </c>
      <c r="H172" t="e">
        <v>#REF!</v>
      </c>
      <c r="I172" t="e">
        <f>IF($C172&lt;10^15,"",IF(OR(D172=1,AND(D172&gt;=100,MOD(D172,100)=0)),IF(TRUNC(($C172-(10^12*INT($C172/(10^12)))))=0,_e_,_sp_),IF(D172&lt;100,"",_sp_)))&amp;IF(D172=1,INDEX(Sng,1,5),IF(D172&lt;100,"",IF(D172=100,OCem,INDEX(Cem,1,TRUNC(D172/100)))))&amp;IF(MOD(D172,100)=0,"",IF(D172=1,"",IF(OR(MOD(D172,100)&gt;=20,MOD(D172,100)=10),IF(OR(D172&gt;100,AND($C172&gt;10^15,TRUNC(($C172-(10^12*INT($C172/(10^12)))))=0)),_e_,IF($C172&gt;10^15,_sp_,"")),"")))&amp;IF(MOD(D172,100)=0,"",IF(D172=1,"",IF(OR(MOD(D172,100)&gt;=20,MOD(D172,100)=10),INDEX(Dez,1,TRUNC(MOD(D172,100)/10)),"")))&amp;IF(MOD(D172,100)=0,"",IF(D172=1,"",IF(MOD(MOD(D172,100),10)&lt;&gt;0,IF(OR(D172&gt;20,AND($C172&gt;10^15,TRUNC(($C172-(10^12*INT($C172/(10^12)))))=0)),_e_,IF($C172&gt;10^15,_sp_,"")),"")))&amp;IF(D172=0,"",IF(D172=1,"",IF(MOD(MOD(D172,100),10)=0,"",IF(MOD(D172,100)&lt;20,INDEX(Sml,1,MOD(D172,100)),INDEX(Sml,1,MOD(MOD(D172,100),10)))))) &amp; IF(D172&lt;=1,"",INDEX(Plu,1,5))</f>
        <v>#REF!</v>
      </c>
      <c r="J172" t="e">
        <f>IF($C172&lt;10^12,"",IF(OR(E172=1,AND(E172&gt;=100,MOD(E172,100)=0)),IF(TRUNC(($C172-(10^9*INT($C172/(10^9)))))=0,_e_,_sp_),IF(E172&lt;100,"",_sp_)))&amp;IF(E172=1,INDEX(Sng,1,4),IF(E172&lt;100,"",IF(E172=100,OCem,INDEX(Cem,1,TRUNC(E172/100)))))&amp;IF(MOD(E172,100)=0,"",IF(E172=1,"",IF(OR(MOD(E172,100)&gt;=20,MOD(E172,100)=10),IF(OR(E172&gt;100,AND($C172&gt;10^12,TRUNC(($C172-(10^9*INT($C172/(10^9)))))=0)),_e_,IF($C172&gt;10^12,_sp_,"")),"")))&amp;IF(MOD(E172,100)=0,"",IF(E172=1,"",IF(OR(MOD(E172,100)&gt;=20,MOD(E172,100)=10),INDEX(Dez,1,TRUNC(MOD(E172,100)/10)),"")))&amp;IF(MOD(E172,100)=0,"",IF(E172=1,"",IF(MOD(MOD(E172,100),10)&lt;&gt;0,IF(OR(E172&gt;20,AND($C172&gt;10^12,TRUNC(($C172-(10^9*INT($C172/(10^9)))))=0)),_e_,IF($C172&gt;10^12,_sp_,"")),"")))&amp;IF(E172=0,"",IF(E172=1,"",IF(MOD(MOD(E172,100),10)=0,"",IF(MOD(E172,100)&lt;20,INDEX(Sml,1,MOD(E172,100)),INDEX(Sml,1,MOD(MOD(E172,100),10)))))) &amp; IF(E172&lt;=1,"",INDEX(Plu,1,4))</f>
        <v>#REF!</v>
      </c>
      <c r="K172" t="e">
        <f>IF($C172&lt;10^9,"",IF(OR(F172=1,AND(F172&gt;=100,MOD(F172,100)=0)),IF(TRUNC(($C172-(10^6*INT($C172/(10^6)))))=0,_e_,_sp_),IF(F172&lt;100,"",_sp_)))&amp;IF(F172=1,INDEX(Sng,1,3),IF(F172&lt;100,"",IF(F172=100,OCem,INDEX(Cem,1,TRUNC(F172/100)))))&amp;IF(MOD(F172,100)=0,"",IF(F172=1,"",IF(OR(MOD(F172,100)&gt;=20,MOD(F172,100)=10),IF(OR(F172&gt;100,AND($C172&gt;10^9,TRUNC(($C172-(10^6*INT($C172/(10^6)))))=0)),_e_,IF($C172&gt;10^9,_sp_,"")),"")))&amp;IF(MOD(F172,100)=0,"",IF(F172=1,"",IF(OR(MOD(F172,100)&gt;=20,MOD(F172,100)=10),INDEX(Dez,1,TRUNC(MOD(F172,100)/10)),"")))&amp;IF(MOD(F172,100)=0,"",IF(F172=1,"",IF(MOD(MOD(F172,100),10)&lt;&gt;0,IF(OR(F172&gt;20,AND($C172&gt;10^9,TRUNC(($C172-(10^6*INT($C172/(10^6)))))=0)),_e_,IF($C172&gt;10^9,_sp_,"")),"")))&amp;IF(F172=0,"",IF(F172=1,"",IF(MOD(MOD(F172,100),10)=0,"",IF(MOD(F172,100)&lt;20,INDEX(Sml,1,MOD(F172,100)),INDEX(Sml,1,MOD(MOD(F172,100),10)))))) &amp; IF(F172&lt;=1,"",INDEX(Plu,1,3))</f>
        <v>#REF!</v>
      </c>
      <c r="L172" t="e">
        <f>IF($C172&lt;10^6,"",IF(OR(G172=1,AND(G172&gt;=100,MOD(G172,100)=0)),IF(TRUNC(($C172-(10^3*INT($C172/(10^3)))))=0,_e_,_sp_),IF(G172&lt;100,"",_sp_)))&amp;IF(G172=1,INDEX(Sng,1,2),IF(G172&lt;100,"",IF(G172=100,OCem,INDEX(Cem,1,TRUNC(G172/100)))))&amp;IF(MOD(G172,100)=0,"",IF(G172=1,"",IF(OR(MOD(G172,100)&gt;=20,MOD(G172,100)=10),IF(OR(G172&gt;100,AND($C172&gt;10^6,TRUNC(($C172-(10^3*INT($C172/(10^3)))))=0)),_e_,IF($C172&gt;10^6,_sp_,"")),"")))&amp;IF(MOD(G172,100)=0,"",IF(G172=1,"",IF(OR(MOD(G172,100)&gt;=20,MOD(G172,100)=10),INDEX(Dez,1,TRUNC(MOD(G172,100)/10)),"")))&amp;IF(MOD(G172,100)=0,"",IF(G172=1,"",IF(MOD(MOD(G172,100),10)&lt;&gt;0,IF(OR(G172&gt;20,AND($C172&gt;10^6,TRUNC(($C172-(10^3*INT($C172/(10^3)))))=0)),_e_,IF($C172&gt;10^6,_sp_,"")),"")))&amp;IF(G172=0,"",IF(G172=1,"",IF(MOD(MOD(G172,100),10)=0,"",IF(MOD(G172,100)&lt;20,INDEX(Sml,1,MOD(G172,100)),INDEX(Sml,1,MOD(MOD(G172,100),10)))))) &amp; IF(G172&lt;=1,"",INDEX(Plu,1,2))</f>
        <v>#REF!</v>
      </c>
      <c r="M172" t="e">
        <f>IF($C172&lt;10^3,"",IF(OR(H172=1,AND(H172&gt;=100,MOD(H172,100)=0)),IF(TRUNC(($C172-(10^0*INT($C172/(10^0)))))=0,_e_,_sp_),IF(H172&lt;100,"",_sp_)))&amp;IF(H172=1,INDEX(Sng,1,1),IF(H172&lt;100,"",IF(H172=100,OCem,INDEX(Cem,1,TRUNC(H172/100)))))&amp;IF(MOD(H172,100)=0,"",IF(H172=1,"",IF(OR(MOD(H172,100)&gt;=20,MOD(H172,100)=10),IF(OR(H172&gt;100,AND($C172&gt;10^3,TRUNC(($C172-(10^0*INT($C172/(10^0)))))=0)),_e_,IF($C172&gt;10^3,_sp_,"")),"")))&amp;IF(MOD(H172,100)=0,"",IF(H172=1,"",IF(OR(MOD(H172,100)&gt;=20,MOD(H172,100)=10),INDEX(Dez,1,TRUNC(MOD(H172,100)/10)),"")))&amp;IF(MOD(H172,100)=0,"",IF(H172=1,"",IF(MOD(MOD(H172,100),10)&lt;&gt;0,IF(OR(H172&gt;20,AND($C172&gt;10^3,TRUNC(($C172-(10^0*INT($C172/(10^0)))))=0)),_e_,IF($C172&gt;10^3,_sp_,"")),"")))&amp;IF(H172=0,"",IF(H172=1,"",IF(MOD(MOD(H172,100),10)=0,"",IF(MOD(H172,100)&lt;20,INDEX(Sml,1,MOD(H172,100)),INDEX(Sml,1,MOD(MOD(H172,100),10)))))) &amp; IF(H172&lt;=1,"",INDEX(Plu,1,1))</f>
        <v>#REF!</v>
      </c>
      <c r="N172" t="e">
        <f>IF($C172&lt;1,"",IF(TRUNC($C172)=1," real",IF(AND($C172&gt;=10^6,TRUNC($C172-10^6*INT($C172/10^6))=0)," de","") &amp; " reais"))</f>
        <v>#REF!</v>
      </c>
      <c r="O172" t="e">
        <f>IF((ROUND($C172-TRUNC($C172),2)*100)=0,"",IF($C172&gt;=1,_e_,"") &amp; IF((ROUND($C172-TRUNC($C172),2)*100)=1,"um centavo",IF((ROUND($C172-TRUNC($C172),2)*100)&gt;=20,INDEX(Dez,1,TRUNC((ROUND($C172-TRUNC($C172),2)*100)/10)) &amp; IF(MOD((ROUND($C172-TRUNC($C172),2)*100),10)&lt;&gt;0,_e_ &amp; INDEX(Sml,1,MOD((ROUND($C172-TRUNC($C172),2)*100),10)),""),INDEX(Sml,1,(ROUND($C172-TRUNC($C172),2)*100))) &amp; " centavos"))</f>
        <v>#REF!</v>
      </c>
      <c r="P172" t="e">
        <f>I172&amp;J172&amp;K172&amp;L172&amp;M172&amp;N172&amp;O172</f>
        <v>#REF!</v>
      </c>
    </row>
    <row r="175" spans="3:16" ht="13.5" thickBot="1"/>
    <row r="176" spans="3:16" ht="13.5" thickBot="1">
      <c r="D176" s="558" t="s">
        <v>297</v>
      </c>
      <c r="E176" s="559"/>
      <c r="F176" s="559"/>
      <c r="G176" s="559"/>
      <c r="H176" s="560"/>
      <c r="I176" s="558" t="s">
        <v>298</v>
      </c>
      <c r="J176" s="559"/>
      <c r="K176" s="559"/>
      <c r="L176" s="559"/>
      <c r="M176" s="560"/>
      <c r="N176" s="561" t="s">
        <v>299</v>
      </c>
      <c r="O176" s="561" t="s">
        <v>300</v>
      </c>
      <c r="P176" s="561" t="s">
        <v>301</v>
      </c>
    </row>
    <row r="177" spans="3:16" ht="26.25" thickBot="1">
      <c r="C177" s="553" t="s">
        <v>302</v>
      </c>
      <c r="D177" s="554" t="s">
        <v>303</v>
      </c>
      <c r="E177" s="555" t="s">
        <v>304</v>
      </c>
      <c r="F177" s="555" t="s">
        <v>305</v>
      </c>
      <c r="G177" s="555" t="s">
        <v>306</v>
      </c>
      <c r="H177" s="556" t="s">
        <v>307</v>
      </c>
      <c r="I177" s="554" t="s">
        <v>303</v>
      </c>
      <c r="J177" s="555" t="s">
        <v>304</v>
      </c>
      <c r="K177" s="555" t="s">
        <v>305</v>
      </c>
      <c r="L177" s="555" t="s">
        <v>306</v>
      </c>
      <c r="M177" s="556" t="s">
        <v>307</v>
      </c>
      <c r="N177" s="562"/>
      <c r="O177" s="562"/>
      <c r="P177" s="562"/>
    </row>
    <row r="178" spans="3:16">
      <c r="C178" s="557" t="e">
        <f>[3]PROPOSTA!#REF!</f>
        <v>#REF!</v>
      </c>
      <c r="D178" t="e">
        <f t="array" ref="D178:H178">TRUNC(($C178-((10^{15,12,9,6,3})*INT($C178/(10^{15,12,9,6,3}))))/10^{12,9,6,3,0})</f>
        <v>#REF!</v>
      </c>
      <c r="E178" t="e">
        <v>#REF!</v>
      </c>
      <c r="F178" t="e">
        <v>#REF!</v>
      </c>
      <c r="G178" t="e">
        <v>#REF!</v>
      </c>
      <c r="H178" t="e">
        <v>#REF!</v>
      </c>
      <c r="I178" t="e">
        <f>IF($C178&lt;10^15,"",IF(OR(D178=1,AND(D178&gt;=100,MOD(D178,100)=0)),IF(TRUNC(($C178-(10^12*INT($C178/(10^12)))))=0,_e_,_sp_),IF(D178&lt;100,"",_sp_)))&amp;IF(D178=1,INDEX(Sng,1,5),IF(D178&lt;100,"",IF(D178=100,OCem,INDEX(Cem,1,TRUNC(D178/100)))))&amp;IF(MOD(D178,100)=0,"",IF(D178=1,"",IF(OR(MOD(D178,100)&gt;=20,MOD(D178,100)=10),IF(OR(D178&gt;100,AND($C178&gt;10^15,TRUNC(($C178-(10^12*INT($C178/(10^12)))))=0)),_e_,IF($C178&gt;10^15,_sp_,"")),"")))&amp;IF(MOD(D178,100)=0,"",IF(D178=1,"",IF(OR(MOD(D178,100)&gt;=20,MOD(D178,100)=10),INDEX(Dez,1,TRUNC(MOD(D178,100)/10)),"")))&amp;IF(MOD(D178,100)=0,"",IF(D178=1,"",IF(MOD(MOD(D178,100),10)&lt;&gt;0,IF(OR(D178&gt;20,AND($C178&gt;10^15,TRUNC(($C178-(10^12*INT($C178/(10^12)))))=0)),_e_,IF($C178&gt;10^15,_sp_,"")),"")))&amp;IF(D178=0,"",IF(D178=1,"",IF(MOD(MOD(D178,100),10)=0,"",IF(MOD(D178,100)&lt;20,INDEX(Sml,1,MOD(D178,100)),INDEX(Sml,1,MOD(MOD(D178,100),10)))))) &amp; IF(D178&lt;=1,"",INDEX(Plu,1,5))</f>
        <v>#REF!</v>
      </c>
      <c r="J178" t="e">
        <f>IF($C178&lt;10^12,"",IF(OR(E178=1,AND(E178&gt;=100,MOD(E178,100)=0)),IF(TRUNC(($C178-(10^9*INT($C178/(10^9)))))=0,_e_,_sp_),IF(E178&lt;100,"",_sp_)))&amp;IF(E178=1,INDEX(Sng,1,4),IF(E178&lt;100,"",IF(E178=100,OCem,INDEX(Cem,1,TRUNC(E178/100)))))&amp;IF(MOD(E178,100)=0,"",IF(E178=1,"",IF(OR(MOD(E178,100)&gt;=20,MOD(E178,100)=10),IF(OR(E178&gt;100,AND($C178&gt;10^12,TRUNC(($C178-(10^9*INT($C178/(10^9)))))=0)),_e_,IF($C178&gt;10^12,_sp_,"")),"")))&amp;IF(MOD(E178,100)=0,"",IF(E178=1,"",IF(OR(MOD(E178,100)&gt;=20,MOD(E178,100)=10),INDEX(Dez,1,TRUNC(MOD(E178,100)/10)),"")))&amp;IF(MOD(E178,100)=0,"",IF(E178=1,"",IF(MOD(MOD(E178,100),10)&lt;&gt;0,IF(OR(E178&gt;20,AND($C178&gt;10^12,TRUNC(($C178-(10^9*INT($C178/(10^9)))))=0)),_e_,IF($C178&gt;10^12,_sp_,"")),"")))&amp;IF(E178=0,"",IF(E178=1,"",IF(MOD(MOD(E178,100),10)=0,"",IF(MOD(E178,100)&lt;20,INDEX(Sml,1,MOD(E178,100)),INDEX(Sml,1,MOD(MOD(E178,100),10)))))) &amp; IF(E178&lt;=1,"",INDEX(Plu,1,4))</f>
        <v>#REF!</v>
      </c>
      <c r="K178" t="e">
        <f>IF($C178&lt;10^9,"",IF(OR(F178=1,AND(F178&gt;=100,MOD(F178,100)=0)),IF(TRUNC(($C178-(10^6*INT($C178/(10^6)))))=0,_e_,_sp_),IF(F178&lt;100,"",_sp_)))&amp;IF(F178=1,INDEX(Sng,1,3),IF(F178&lt;100,"",IF(F178=100,OCem,INDEX(Cem,1,TRUNC(F178/100)))))&amp;IF(MOD(F178,100)=0,"",IF(F178=1,"",IF(OR(MOD(F178,100)&gt;=20,MOD(F178,100)=10),IF(OR(F178&gt;100,AND($C178&gt;10^9,TRUNC(($C178-(10^6*INT($C178/(10^6)))))=0)),_e_,IF($C178&gt;10^9,_sp_,"")),"")))&amp;IF(MOD(F178,100)=0,"",IF(F178=1,"",IF(OR(MOD(F178,100)&gt;=20,MOD(F178,100)=10),INDEX(Dez,1,TRUNC(MOD(F178,100)/10)),"")))&amp;IF(MOD(F178,100)=0,"",IF(F178=1,"",IF(MOD(MOD(F178,100),10)&lt;&gt;0,IF(OR(F178&gt;20,AND($C178&gt;10^9,TRUNC(($C178-(10^6*INT($C178/(10^6)))))=0)),_e_,IF($C178&gt;10^9,_sp_,"")),"")))&amp;IF(F178=0,"",IF(F178=1,"",IF(MOD(MOD(F178,100),10)=0,"",IF(MOD(F178,100)&lt;20,INDEX(Sml,1,MOD(F178,100)),INDEX(Sml,1,MOD(MOD(F178,100),10)))))) &amp; IF(F178&lt;=1,"",INDEX(Plu,1,3))</f>
        <v>#REF!</v>
      </c>
      <c r="L178" t="e">
        <f>IF($C178&lt;10^6,"",IF(OR(G178=1,AND(G178&gt;=100,MOD(G178,100)=0)),IF(TRUNC(($C178-(10^3*INT($C178/(10^3)))))=0,_e_,_sp_),IF(G178&lt;100,"",_sp_)))&amp;IF(G178=1,INDEX(Sng,1,2),IF(G178&lt;100,"",IF(G178=100,OCem,INDEX(Cem,1,TRUNC(G178/100)))))&amp;IF(MOD(G178,100)=0,"",IF(G178=1,"",IF(OR(MOD(G178,100)&gt;=20,MOD(G178,100)=10),IF(OR(G178&gt;100,AND($C178&gt;10^6,TRUNC(($C178-(10^3*INT($C178/(10^3)))))=0)),_e_,IF($C178&gt;10^6,_sp_,"")),"")))&amp;IF(MOD(G178,100)=0,"",IF(G178=1,"",IF(OR(MOD(G178,100)&gt;=20,MOD(G178,100)=10),INDEX(Dez,1,TRUNC(MOD(G178,100)/10)),"")))&amp;IF(MOD(G178,100)=0,"",IF(G178=1,"",IF(MOD(MOD(G178,100),10)&lt;&gt;0,IF(OR(G178&gt;20,AND($C178&gt;10^6,TRUNC(($C178-(10^3*INT($C178/(10^3)))))=0)),_e_,IF($C178&gt;10^6,_sp_,"")),"")))&amp;IF(G178=0,"",IF(G178=1,"",IF(MOD(MOD(G178,100),10)=0,"",IF(MOD(G178,100)&lt;20,INDEX(Sml,1,MOD(G178,100)),INDEX(Sml,1,MOD(MOD(G178,100),10)))))) &amp; IF(G178&lt;=1,"",INDEX(Plu,1,2))</f>
        <v>#REF!</v>
      </c>
      <c r="M178" t="e">
        <f>IF($C178&lt;10^3,"",IF(OR(H178=1,AND(H178&gt;=100,MOD(H178,100)=0)),IF(TRUNC(($C178-(10^0*INT($C178/(10^0)))))=0,_e_,_sp_),IF(H178&lt;100,"",_sp_)))&amp;IF(H178=1,INDEX(Sng,1,1),IF(H178&lt;100,"",IF(H178=100,OCem,INDEX(Cem,1,TRUNC(H178/100)))))&amp;IF(MOD(H178,100)=0,"",IF(H178=1,"",IF(OR(MOD(H178,100)&gt;=20,MOD(H178,100)=10),IF(OR(H178&gt;100,AND($C178&gt;10^3,TRUNC(($C178-(10^0*INT($C178/(10^0)))))=0)),_e_,IF($C178&gt;10^3,_sp_,"")),"")))&amp;IF(MOD(H178,100)=0,"",IF(H178=1,"",IF(OR(MOD(H178,100)&gt;=20,MOD(H178,100)=10),INDEX(Dez,1,TRUNC(MOD(H178,100)/10)),"")))&amp;IF(MOD(H178,100)=0,"",IF(H178=1,"",IF(MOD(MOD(H178,100),10)&lt;&gt;0,IF(OR(H178&gt;20,AND($C178&gt;10^3,TRUNC(($C178-(10^0*INT($C178/(10^0)))))=0)),_e_,IF($C178&gt;10^3,_sp_,"")),"")))&amp;IF(H178=0,"",IF(H178=1,"",IF(MOD(MOD(H178,100),10)=0,"",IF(MOD(H178,100)&lt;20,INDEX(Sml,1,MOD(H178,100)),INDEX(Sml,1,MOD(MOD(H178,100),10)))))) &amp; IF(H178&lt;=1,"",INDEX(Plu,1,1))</f>
        <v>#REF!</v>
      </c>
      <c r="N178" t="e">
        <f>IF($C178&lt;1,"",IF(TRUNC($C178)=1," real",IF(AND($C178&gt;=10^6,TRUNC($C178-10^6*INT($C178/10^6))=0)," de","") &amp; " reais"))</f>
        <v>#REF!</v>
      </c>
      <c r="O178" t="e">
        <f>IF((ROUND($C178-TRUNC($C178),2)*100)=0,"",IF($C178&gt;=1,_e_,"") &amp; IF((ROUND($C178-TRUNC($C178),2)*100)=1,"um centavo",IF((ROUND($C178-TRUNC($C178),2)*100)&gt;=20,INDEX(Dez,1,TRUNC((ROUND($C178-TRUNC($C178),2)*100)/10)) &amp; IF(MOD((ROUND($C178-TRUNC($C178),2)*100),10)&lt;&gt;0,_e_ &amp; INDEX(Sml,1,MOD((ROUND($C178-TRUNC($C178),2)*100),10)),""),INDEX(Sml,1,(ROUND($C178-TRUNC($C178),2)*100))) &amp; " centavos"))</f>
        <v>#REF!</v>
      </c>
      <c r="P178" t="e">
        <f>I178&amp;J178&amp;K178&amp;L178&amp;M178&amp;N178&amp;O178</f>
        <v>#REF!</v>
      </c>
    </row>
  </sheetData>
  <mergeCells count="75">
    <mergeCell ref="D15:H15"/>
    <mergeCell ref="I15:M15"/>
    <mergeCell ref="N15:N16"/>
    <mergeCell ref="O15:O16"/>
    <mergeCell ref="P15:P16"/>
    <mergeCell ref="D2:H2"/>
    <mergeCell ref="I2:M2"/>
    <mergeCell ref="N2:N3"/>
    <mergeCell ref="O2:O3"/>
    <mergeCell ref="P2:P3"/>
    <mergeCell ref="D39:H39"/>
    <mergeCell ref="I39:M39"/>
    <mergeCell ref="N39:N40"/>
    <mergeCell ref="O39:O40"/>
    <mergeCell ref="P39:P40"/>
    <mergeCell ref="D27:H27"/>
    <mergeCell ref="I27:M27"/>
    <mergeCell ref="N27:N28"/>
    <mergeCell ref="O27:O28"/>
    <mergeCell ref="P27:P28"/>
    <mergeCell ref="D63:H63"/>
    <mergeCell ref="I63:M63"/>
    <mergeCell ref="N63:N64"/>
    <mergeCell ref="O63:O64"/>
    <mergeCell ref="P63:P64"/>
    <mergeCell ref="D51:H51"/>
    <mergeCell ref="I51:M51"/>
    <mergeCell ref="N51:N52"/>
    <mergeCell ref="O51:O52"/>
    <mergeCell ref="P51:P52"/>
    <mergeCell ref="D87:H87"/>
    <mergeCell ref="I87:M87"/>
    <mergeCell ref="N87:N88"/>
    <mergeCell ref="O87:O88"/>
    <mergeCell ref="P87:P88"/>
    <mergeCell ref="D75:H75"/>
    <mergeCell ref="I75:M75"/>
    <mergeCell ref="N75:N76"/>
    <mergeCell ref="O75:O76"/>
    <mergeCell ref="P75:P76"/>
    <mergeCell ref="D112:H112"/>
    <mergeCell ref="I112:M112"/>
    <mergeCell ref="N112:N113"/>
    <mergeCell ref="O112:O113"/>
    <mergeCell ref="P112:P113"/>
    <mergeCell ref="D99:H99"/>
    <mergeCell ref="I99:M99"/>
    <mergeCell ref="N99:N100"/>
    <mergeCell ref="O99:O100"/>
    <mergeCell ref="P99:P100"/>
    <mergeCell ref="D135:H135"/>
    <mergeCell ref="I135:M135"/>
    <mergeCell ref="N135:N136"/>
    <mergeCell ref="O135:O136"/>
    <mergeCell ref="P135:P136"/>
    <mergeCell ref="D123:H123"/>
    <mergeCell ref="I123:M123"/>
    <mergeCell ref="N123:N124"/>
    <mergeCell ref="O123:O124"/>
    <mergeCell ref="P123:P124"/>
    <mergeCell ref="D159:H159"/>
    <mergeCell ref="I159:M159"/>
    <mergeCell ref="N159:N160"/>
    <mergeCell ref="O159:O160"/>
    <mergeCell ref="P159:P160"/>
    <mergeCell ref="D147:H147"/>
    <mergeCell ref="I147:M147"/>
    <mergeCell ref="N147:N148"/>
    <mergeCell ref="O147:O148"/>
    <mergeCell ref="P147:P148"/>
    <mergeCell ref="D170:H170"/>
    <mergeCell ref="I170:M170"/>
    <mergeCell ref="N170:N171"/>
    <mergeCell ref="O170:O171"/>
    <mergeCell ref="P170:P171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S155"/>
  <sheetViews>
    <sheetView view="pageBreakPreview" topLeftCell="A144" zoomScale="80" zoomScaleNormal="100" zoomScaleSheetLayoutView="80" workbookViewId="0">
      <selection activeCell="A26" sqref="A26:J26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42578125" style="2" hidden="1" customWidth="1"/>
    <col min="13" max="13" width="9.85546875" style="2" hidden="1" customWidth="1"/>
    <col min="14" max="14" width="7.5703125" style="2" hidden="1" customWidth="1"/>
    <col min="15" max="15" width="10.5703125" style="2" hidden="1" customWidth="1"/>
    <col min="16" max="16" width="19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2.5" customHeight="1"/>
    <row r="2" spans="1:13" s="6" customFormat="1" ht="15.7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342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204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249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8.5" customHeight="1">
      <c r="A14" s="315">
        <v>1</v>
      </c>
      <c r="B14" s="1007" t="s">
        <v>25</v>
      </c>
      <c r="C14" s="1130"/>
      <c r="D14" s="1130"/>
      <c r="E14" s="1130"/>
      <c r="F14" s="1131"/>
      <c r="G14" s="1010" t="str">
        <f>A7</f>
        <v>VIGILANCIA DESARMADA 12 HORAS NOTURNAS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130"/>
      <c r="D15" s="1130"/>
      <c r="E15" s="1130"/>
      <c r="F15" s="1131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130"/>
      <c r="D16" s="1130"/>
      <c r="E16" s="1130"/>
      <c r="F16" s="1131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130"/>
      <c r="D17" s="1130"/>
      <c r="E17" s="1130"/>
      <c r="F17" s="1131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65" t="s">
        <v>76</v>
      </c>
      <c r="B19" s="1065"/>
      <c r="C19" s="1065"/>
      <c r="D19" s="1065"/>
      <c r="E19" s="1065"/>
      <c r="F19" s="1065"/>
      <c r="G19" s="1065"/>
      <c r="H19" s="1065"/>
      <c r="I19" s="1065"/>
      <c r="J19" s="1065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27.75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NOTURNAS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8" t="s">
        <v>81</v>
      </c>
      <c r="C27" s="1039"/>
      <c r="D27" s="1039"/>
      <c r="E27" s="1039"/>
      <c r="F27" s="1039"/>
      <c r="G27" s="1039"/>
      <c r="H27" s="1039"/>
      <c r="I27" s="1040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120</v>
      </c>
      <c r="J37" s="276">
        <f>K37*I37</f>
        <v>199.2</v>
      </c>
      <c r="K37" s="22">
        <v>1.66</v>
      </c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15</v>
      </c>
      <c r="J38" s="276">
        <f>K38*I38</f>
        <v>223.5</v>
      </c>
      <c r="K38" s="22">
        <v>14.9</v>
      </c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70.45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2314.5409999999997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2314.5409999999997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31" t="s">
        <v>47</v>
      </c>
      <c r="B48" s="1031"/>
      <c r="C48" s="1031"/>
      <c r="D48" s="1031"/>
      <c r="E48" s="1031"/>
      <c r="F48" s="1031"/>
      <c r="G48" s="1031"/>
      <c r="H48" s="1031"/>
      <c r="I48" s="399" t="s">
        <v>3</v>
      </c>
      <c r="J48" s="399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192.80126529999998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192.80126529999998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21.368791473809996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406.97132207380997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544.30246441476197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68.037808051845246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81.645369662214293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40.822684831107146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27.215123220738096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16.329073932442856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5.4430246441476191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217.72098576590477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1001.51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10.520640909090908</v>
      </c>
      <c r="L71" s="31"/>
      <c r="Q71" s="25">
        <f>K71*1.5</f>
        <v>15.780961363636361</v>
      </c>
    </row>
    <row r="72" spans="1:19" s="17" customFormat="1" ht="12.75">
      <c r="A72" s="269" t="s">
        <v>12</v>
      </c>
      <c r="B72" s="1235" t="s">
        <v>205</v>
      </c>
      <c r="C72" s="1235"/>
      <c r="D72" s="1235"/>
      <c r="E72" s="1235"/>
      <c r="F72" s="1235"/>
      <c r="G72" s="1235"/>
      <c r="H72" s="1235"/>
      <c r="I72" s="400">
        <v>18.329999999999998</v>
      </c>
      <c r="J72" s="271">
        <f>I72</f>
        <v>18.329999999999998</v>
      </c>
      <c r="K72" s="27">
        <f>J43/220</f>
        <v>10.520640909090908</v>
      </c>
      <c r="L72" s="31"/>
      <c r="Q72" s="25">
        <f>K72*2</f>
        <v>21.041281818181815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486.28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406.97132207380997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1001.51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486.28</v>
      </c>
      <c r="K79" s="29"/>
      <c r="L79" s="31"/>
    </row>
    <row r="80" spans="1:19" s="17" customFormat="1" ht="12.75">
      <c r="A80" s="316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1894.76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384">
        <v>4.4999999999999997E-3</v>
      </c>
      <c r="J83" s="246">
        <f>J44*I83</f>
        <v>10.415434499999998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386">
        <f>I83*I62</f>
        <v>3.5999999999999997E-4</v>
      </c>
      <c r="J84" s="242">
        <f>I84*J44</f>
        <v>0.83323475999999985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46.290819999999997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44.902095399999993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16.523971107200001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46.290819999999997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165.25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39.347197000000001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10.415434499999998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0.46290819999999999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6.2492606999999998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56.474800399999999</v>
      </c>
      <c r="K99" s="29"/>
      <c r="L99" s="31"/>
    </row>
    <row r="100" spans="1:12" s="17" customFormat="1" ht="13.5" customHeight="1">
      <c r="A100" s="410" t="s">
        <v>13</v>
      </c>
      <c r="B100" s="1258" t="s">
        <v>165</v>
      </c>
      <c r="C100" s="1258"/>
      <c r="D100" s="1258"/>
      <c r="E100" s="1258"/>
      <c r="F100" s="1258"/>
      <c r="G100" s="1258"/>
      <c r="H100" s="1258"/>
      <c r="I100" s="349"/>
      <c r="J100" s="350"/>
      <c r="K100" s="29"/>
      <c r="L100" s="31"/>
    </row>
    <row r="101" spans="1:12" s="17" customFormat="1" ht="12.75">
      <c r="A101" s="1065" t="s">
        <v>96</v>
      </c>
      <c r="B101" s="1065"/>
      <c r="C101" s="1065"/>
      <c r="D101" s="1065"/>
      <c r="E101" s="1065"/>
      <c r="F101" s="1065"/>
      <c r="G101" s="1065"/>
      <c r="H101" s="1065"/>
      <c r="I101" s="338">
        <f>I99+I100</f>
        <v>2.4400000000000002E-2</v>
      </c>
      <c r="J101" s="339">
        <f>J99+J100</f>
        <v>56.474800399999999</v>
      </c>
      <c r="K101" s="29"/>
    </row>
    <row r="102" spans="1:12" s="17" customFormat="1" ht="12.75">
      <c r="A102" s="1065" t="s">
        <v>17</v>
      </c>
      <c r="B102" s="1065"/>
      <c r="C102" s="1065"/>
      <c r="D102" s="1065"/>
      <c r="E102" s="1065"/>
      <c r="F102" s="1065"/>
      <c r="G102" s="1065"/>
      <c r="H102" s="1065"/>
      <c r="I102" s="1065"/>
      <c r="J102" s="339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56.474800399999999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(J35+J36+J37)/180*1.5*15</f>
        <v>252.57387499999999</v>
      </c>
      <c r="K107" s="29">
        <v>21.6</v>
      </c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309.04000000000002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1630.20612247381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065" t="s">
        <v>71</v>
      </c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3.5" thickBot="1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352">
        <v>0.04</v>
      </c>
      <c r="J119" s="242">
        <f>TRUNC(I119*J144,2)</f>
        <v>190.91</v>
      </c>
      <c r="K119" s="29"/>
      <c r="Q119" s="16"/>
      <c r="R119" s="128"/>
    </row>
    <row r="120" spans="1:18" s="17" customFormat="1" ht="15.75" thickBot="1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52">
        <v>0.03</v>
      </c>
      <c r="J120" s="242">
        <f>TRUNC(I120*(J119+J144),2)</f>
        <v>148.91</v>
      </c>
      <c r="Q120" s="358">
        <f>Q151</f>
        <v>-813.45374931581864</v>
      </c>
    </row>
    <row r="121" spans="1:18" s="17" customFormat="1" ht="12.75">
      <c r="A121" s="33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36.369999999999997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167.9</v>
      </c>
      <c r="K123" s="25">
        <f>J151</f>
        <v>134321.44499178982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2.75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279.83</v>
      </c>
    </row>
    <row r="126" spans="1:18" s="17" customFormat="1" ht="12.75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0.15650000000000003</v>
      </c>
      <c r="J126" s="249">
        <f>TRUNC(SUM(J119:J125),2)</f>
        <v>823.92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5112.6099999999997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5596.7268746579093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484.11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2314.5409999999997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1894.76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165.25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309.04000000000002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4772.79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823.92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5596.7268746579093</v>
      </c>
      <c r="K146" s="16"/>
      <c r="L146" s="34">
        <v>4822.8100000000004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11193.453749315819</v>
      </c>
      <c r="L148" s="34">
        <f>L146*L147</f>
        <v>33759.670000000006</v>
      </c>
      <c r="Q148" s="353" t="s">
        <v>244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  <c r="Q149" s="354">
        <v>10380</v>
      </c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11193.453749315819</v>
      </c>
      <c r="L150" s="34"/>
      <c r="Q150" s="354">
        <f>J148</f>
        <v>11193.453749315819</v>
      </c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134321.44499178982</v>
      </c>
      <c r="L151" s="34">
        <f>L148*12</f>
        <v>405116.04000000004</v>
      </c>
      <c r="Q151" s="354">
        <f>Q149-Q150</f>
        <v>-813.45374931581864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  <c r="K153" s="25" t="e">
        <f>J148+#REF!</f>
        <v>#REF!</v>
      </c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4" orientation="portrait" r:id="rId1"/>
  <headerFooter>
    <oddHeader>&amp;L&amp;G&amp;R&amp;G</oddHeader>
    <oddFooter xml:space="preserve">&amp;R
</oddFooter>
  </headerFooter>
  <rowBreaks count="1" manualBreakCount="1">
    <brk id="74" max="9" man="1"/>
  </row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S155"/>
  <sheetViews>
    <sheetView view="pageBreakPreview" topLeftCell="A97" zoomScale="80" zoomScaleNormal="100" zoomScaleSheetLayoutView="80" workbookViewId="0">
      <selection activeCell="A26" sqref="A26:J26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7109375" style="2" hidden="1" customWidth="1"/>
    <col min="13" max="13" width="26.28515625" style="2" hidden="1" customWidth="1"/>
    <col min="14" max="14" width="17.5703125" style="2" hidden="1" customWidth="1"/>
    <col min="15" max="15" width="19" style="2" hidden="1" customWidth="1"/>
    <col min="16" max="16" width="4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6.25" customHeight="1"/>
    <row r="2" spans="1:13" s="6" customFormat="1" ht="14.4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287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203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250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7.75" customHeight="1">
      <c r="A14" s="315">
        <v>1</v>
      </c>
      <c r="B14" s="1007" t="s">
        <v>25</v>
      </c>
      <c r="C14" s="1008"/>
      <c r="D14" s="1008"/>
      <c r="E14" s="1008"/>
      <c r="F14" s="1009"/>
      <c r="G14" s="1010" t="str">
        <f>A7</f>
        <v>VIGILANCIA DESARMADA 12 HORAS DIURNAS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008"/>
      <c r="D15" s="1008"/>
      <c r="E15" s="1008"/>
      <c r="F15" s="1009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008"/>
      <c r="D16" s="1008"/>
      <c r="E16" s="1008"/>
      <c r="F16" s="1009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008"/>
      <c r="D17" s="1008"/>
      <c r="E17" s="1008"/>
      <c r="F17" s="1009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30" t="s">
        <v>76</v>
      </c>
      <c r="B19" s="1030"/>
      <c r="C19" s="1030"/>
      <c r="D19" s="1030"/>
      <c r="E19" s="1030"/>
      <c r="F19" s="1030"/>
      <c r="G19" s="1030"/>
      <c r="H19" s="1030"/>
      <c r="I19" s="1030"/>
      <c r="J19" s="1030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30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DIURNAS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2" t="s">
        <v>81</v>
      </c>
      <c r="C27" s="1033"/>
      <c r="D27" s="1033"/>
      <c r="E27" s="1033"/>
      <c r="F27" s="1033"/>
      <c r="G27" s="1033"/>
      <c r="H27" s="1008"/>
      <c r="I27" s="1009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0</v>
      </c>
      <c r="J37" s="276">
        <f>((J35+J36)/220)*0.2*I37</f>
        <v>0</v>
      </c>
      <c r="K37" s="22"/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0</v>
      </c>
      <c r="J38" s="276">
        <f>I38*14.89</f>
        <v>0</v>
      </c>
      <c r="K38" s="22"/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0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1821.3909999999998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1821.3909999999998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65" t="s">
        <v>47</v>
      </c>
      <c r="B48" s="1065"/>
      <c r="C48" s="1065"/>
      <c r="D48" s="1065"/>
      <c r="E48" s="1065"/>
      <c r="F48" s="1065"/>
      <c r="G48" s="1065"/>
      <c r="H48" s="1065"/>
      <c r="I48" s="395" t="s">
        <v>3</v>
      </c>
      <c r="J48" s="395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151.72187029999998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151.72187029999998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16.815828482309996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320.25956908230995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428.33011381646196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53.541264227057745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64.249517072469288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32.124758536234644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21.416505690823097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12.849903414493857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4.2833011381646191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171.33204552658478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788.12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8.2790499999999998</v>
      </c>
      <c r="L71" s="31"/>
      <c r="Q71" s="25">
        <f>K71*1.5</f>
        <v>12.418575000000001</v>
      </c>
    </row>
    <row r="72" spans="1:19" s="17" customFormat="1" ht="12.75">
      <c r="A72" s="269" t="s">
        <v>12</v>
      </c>
      <c r="B72" s="1235" t="s">
        <v>179</v>
      </c>
      <c r="C72" s="1235"/>
      <c r="D72" s="1235"/>
      <c r="E72" s="1235"/>
      <c r="F72" s="1235"/>
      <c r="G72" s="1235"/>
      <c r="H72" s="1235"/>
      <c r="I72" s="400">
        <f>Q72</f>
        <v>16.5581</v>
      </c>
      <c r="J72" s="271">
        <f>I72</f>
        <v>16.5581</v>
      </c>
      <c r="K72" s="27">
        <f>J43/220</f>
        <v>8.2790499999999998</v>
      </c>
      <c r="L72" s="31"/>
      <c r="Q72" s="25">
        <f>K72*2</f>
        <v>16.5581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484.51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320.25956908230995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788.12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484.51</v>
      </c>
      <c r="K79" s="29"/>
      <c r="L79" s="31"/>
    </row>
    <row r="80" spans="1:19" s="17" customFormat="1" ht="12.75">
      <c r="A80" s="291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1592.88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384">
        <v>4.4999999999999997E-3</v>
      </c>
      <c r="J83" s="246">
        <f>J44*I83</f>
        <v>8.1962594999999983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386">
        <f>I83*I62</f>
        <v>3.5999999999999997E-4</v>
      </c>
      <c r="J84" s="242">
        <f>I84*J44</f>
        <v>0.65570075999999988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36.427819999999997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35.334985400000001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13.003274627200001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36.427819999999997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130.04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30.963646999999998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8.1962594999999983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0.3642782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4.9177556999999998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44.4419404</v>
      </c>
      <c r="K99" s="29"/>
      <c r="L99" s="31"/>
    </row>
    <row r="100" spans="1:12" s="17" customFormat="1" ht="13.5" customHeight="1">
      <c r="A100" s="256" t="s">
        <v>13</v>
      </c>
      <c r="B100" s="1027" t="s">
        <v>165</v>
      </c>
      <c r="C100" s="1027"/>
      <c r="D100" s="1027"/>
      <c r="E100" s="1027"/>
      <c r="F100" s="1027"/>
      <c r="G100" s="1027"/>
      <c r="H100" s="1027"/>
      <c r="I100" s="257"/>
      <c r="J100" s="258"/>
      <c r="K100" s="29"/>
      <c r="L100" s="31"/>
    </row>
    <row r="101" spans="1:12" s="17" customFormat="1" ht="12.75">
      <c r="A101" s="1030" t="s">
        <v>96</v>
      </c>
      <c r="B101" s="1030"/>
      <c r="C101" s="1030"/>
      <c r="D101" s="1030"/>
      <c r="E101" s="1030"/>
      <c r="F101" s="1030"/>
      <c r="G101" s="1030"/>
      <c r="H101" s="1030"/>
      <c r="I101" s="259">
        <f>I99+I100</f>
        <v>2.4400000000000002E-2</v>
      </c>
      <c r="J101" s="260">
        <f>J99+J100</f>
        <v>44.4419404</v>
      </c>
      <c r="K101" s="29"/>
    </row>
    <row r="102" spans="1:12" s="17" customFormat="1" ht="12.75">
      <c r="A102" s="1030" t="s">
        <v>17</v>
      </c>
      <c r="B102" s="1030"/>
      <c r="C102" s="1030"/>
      <c r="D102" s="1030"/>
      <c r="E102" s="1030"/>
      <c r="F102" s="1030"/>
      <c r="G102" s="1030"/>
      <c r="H102" s="1030"/>
      <c r="I102" s="1030"/>
      <c r="J102" s="260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44.4419404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((J35+J36)/180)*1.5*15</f>
        <v>227.67387499999998</v>
      </c>
      <c r="K107" s="29"/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272.11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1282.8615094823099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257" t="s">
        <v>71</v>
      </c>
      <c r="B117" s="1257"/>
      <c r="C117" s="1257"/>
      <c r="D117" s="1257"/>
      <c r="E117" s="1257"/>
      <c r="F117" s="1257"/>
      <c r="G117" s="1257"/>
      <c r="H117" s="1257"/>
      <c r="I117" s="1257"/>
      <c r="J117" s="1257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2.75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411">
        <v>8.6302400000000001E-2</v>
      </c>
      <c r="J119" s="242">
        <f>TRUNC(I119*J144,2)</f>
        <v>337.06</v>
      </c>
      <c r="K119" s="29"/>
      <c r="Q119" s="16"/>
      <c r="R119" s="128"/>
    </row>
    <row r="120" spans="1:18" s="17" customFormat="1" ht="12.75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89">
        <v>7.6499999999999999E-2</v>
      </c>
      <c r="J120" s="242">
        <f>TRUNC(I120*(J119+J144),2)</f>
        <v>324.56</v>
      </c>
      <c r="Q120" s="16"/>
    </row>
    <row r="121" spans="1:18" s="17" customFormat="1" ht="12.75">
      <c r="A121" s="39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32.49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149.99</v>
      </c>
      <c r="K123" s="25">
        <f>J151</f>
        <v>119993.16912972089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3.5" thickBot="1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249.98</v>
      </c>
    </row>
    <row r="126" spans="1:18" s="17" customFormat="1" ht="15.75" thickBot="1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0.24930240000000004</v>
      </c>
      <c r="J126" s="249">
        <f>TRUNC(SUM(J119:J125),2)</f>
        <v>1094.08</v>
      </c>
      <c r="Q126" s="358">
        <f>Q148</f>
        <v>-1509.4307608100735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4567.24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4999.7153804050358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432.47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1821.3909999999998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1592.88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130.04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272.11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3905.62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1094.08</v>
      </c>
      <c r="Q145" s="353" t="s">
        <v>244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4999.7153804050367</v>
      </c>
      <c r="K146" s="16"/>
      <c r="L146" s="34">
        <v>4822.8100000000004</v>
      </c>
      <c r="Q146" s="354">
        <v>8490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  <c r="Q147" s="354">
        <f>J150</f>
        <v>9999.4307608100735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9999.4307608100735</v>
      </c>
      <c r="L148" s="34">
        <f>L146*L147</f>
        <v>33759.670000000006</v>
      </c>
      <c r="Q148" s="354">
        <f>Q146-Q147</f>
        <v>-1509.4307608100735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9999.4307608100735</v>
      </c>
      <c r="L150" s="34"/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119993.16912972089</v>
      </c>
      <c r="L151" s="34">
        <f>L148*12</f>
        <v>405116.04000000004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7" orientation="portrait" r:id="rId1"/>
  <headerFooter>
    <oddHeader>&amp;L&amp;G&amp;R&amp;G</oddHeader>
    <oddFooter xml:space="preserve">&amp;R
</oddFooter>
  </headerFooter>
  <rowBreaks count="2" manualBreakCount="2">
    <brk id="74" max="9" man="1"/>
    <brk id="154" max="9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S155"/>
  <sheetViews>
    <sheetView view="pageBreakPreview" topLeftCell="A132" zoomScale="80" zoomScaleNormal="100" zoomScaleSheetLayoutView="80" workbookViewId="0">
      <selection activeCell="A26" sqref="A26:J26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42578125" style="2" hidden="1" customWidth="1"/>
    <col min="13" max="13" width="9.85546875" style="2" hidden="1" customWidth="1"/>
    <col min="14" max="14" width="7.5703125" style="2" hidden="1" customWidth="1"/>
    <col min="15" max="15" width="10.5703125" style="2" hidden="1" customWidth="1"/>
    <col min="16" max="16" width="19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2.5" customHeight="1"/>
    <row r="2" spans="1:13" s="6" customFormat="1" ht="15.7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342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204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250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8.5" customHeight="1">
      <c r="A14" s="315">
        <v>1</v>
      </c>
      <c r="B14" s="1007" t="s">
        <v>25</v>
      </c>
      <c r="C14" s="1130"/>
      <c r="D14" s="1130"/>
      <c r="E14" s="1130"/>
      <c r="F14" s="1131"/>
      <c r="G14" s="1010" t="str">
        <f>A7</f>
        <v>VIGILANCIA DESARMADA 12 HORAS NOTURNAS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130"/>
      <c r="D15" s="1130"/>
      <c r="E15" s="1130"/>
      <c r="F15" s="1131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130"/>
      <c r="D16" s="1130"/>
      <c r="E16" s="1130"/>
      <c r="F16" s="1131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130"/>
      <c r="D17" s="1130"/>
      <c r="E17" s="1130"/>
      <c r="F17" s="1131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65" t="s">
        <v>76</v>
      </c>
      <c r="B19" s="1065"/>
      <c r="C19" s="1065"/>
      <c r="D19" s="1065"/>
      <c r="E19" s="1065"/>
      <c r="F19" s="1065"/>
      <c r="G19" s="1065"/>
      <c r="H19" s="1065"/>
      <c r="I19" s="1065"/>
      <c r="J19" s="1065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27.75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NOTURNAS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8" t="s">
        <v>81</v>
      </c>
      <c r="C27" s="1039"/>
      <c r="D27" s="1039"/>
      <c r="E27" s="1039"/>
      <c r="F27" s="1039"/>
      <c r="G27" s="1039"/>
      <c r="H27" s="1039"/>
      <c r="I27" s="1040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120</v>
      </c>
      <c r="J37" s="276">
        <f>K37*I37</f>
        <v>199.2</v>
      </c>
      <c r="K37" s="22">
        <v>1.66</v>
      </c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15</v>
      </c>
      <c r="J38" s="276">
        <f>K38*I38</f>
        <v>223.5</v>
      </c>
      <c r="K38" s="22">
        <v>14.9</v>
      </c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70.45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2314.5409999999997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2314.5409999999997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31" t="s">
        <v>47</v>
      </c>
      <c r="B48" s="1031"/>
      <c r="C48" s="1031"/>
      <c r="D48" s="1031"/>
      <c r="E48" s="1031"/>
      <c r="F48" s="1031"/>
      <c r="G48" s="1031"/>
      <c r="H48" s="1031"/>
      <c r="I48" s="399" t="s">
        <v>3</v>
      </c>
      <c r="J48" s="399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192.80126529999998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192.80126529999998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21.368791473809996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406.97132207380997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544.30246441476197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68.037808051845246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81.645369662214293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40.822684831107146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27.215123220738096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16.329073932442856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5.4430246441476191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217.72098576590477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1001.51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10.520640909090908</v>
      </c>
      <c r="L71" s="31"/>
      <c r="Q71" s="25">
        <f>K71*1.5</f>
        <v>15.780961363636361</v>
      </c>
    </row>
    <row r="72" spans="1:19" s="17" customFormat="1" ht="12.75">
      <c r="A72" s="269" t="s">
        <v>12</v>
      </c>
      <c r="B72" s="1235" t="s">
        <v>205</v>
      </c>
      <c r="C72" s="1235"/>
      <c r="D72" s="1235"/>
      <c r="E72" s="1235"/>
      <c r="F72" s="1235"/>
      <c r="G72" s="1235"/>
      <c r="H72" s="1235"/>
      <c r="I72" s="400">
        <v>18.329999999999998</v>
      </c>
      <c r="J72" s="271">
        <f>I72</f>
        <v>18.329999999999998</v>
      </c>
      <c r="K72" s="27">
        <f>J43/220</f>
        <v>10.520640909090908</v>
      </c>
      <c r="L72" s="31"/>
      <c r="Q72" s="25">
        <f>K72*2</f>
        <v>21.041281818181815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486.28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406.97132207380997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1001.51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486.28</v>
      </c>
      <c r="K79" s="29"/>
      <c r="L79" s="31"/>
    </row>
    <row r="80" spans="1:19" s="17" customFormat="1" ht="12.75">
      <c r="A80" s="316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1894.76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384">
        <v>4.4999999999999997E-3</v>
      </c>
      <c r="J83" s="246">
        <f>J44*I83</f>
        <v>10.415434499999998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386">
        <f>I83*I62</f>
        <v>3.5999999999999997E-4</v>
      </c>
      <c r="J84" s="242">
        <f>I84*J44</f>
        <v>0.83323475999999985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46.290819999999997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44.902095399999993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16.523971107200001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46.290819999999997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165.25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39.347197000000001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10.415434499999998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0.46290819999999999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6.2492606999999998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56.474800399999999</v>
      </c>
      <c r="K99" s="29"/>
      <c r="L99" s="31"/>
    </row>
    <row r="100" spans="1:12" s="17" customFormat="1" ht="13.5" customHeight="1">
      <c r="A100" s="410" t="s">
        <v>13</v>
      </c>
      <c r="B100" s="1258" t="s">
        <v>165</v>
      </c>
      <c r="C100" s="1258"/>
      <c r="D100" s="1258"/>
      <c r="E100" s="1258"/>
      <c r="F100" s="1258"/>
      <c r="G100" s="1258"/>
      <c r="H100" s="1258"/>
      <c r="I100" s="349"/>
      <c r="J100" s="350"/>
      <c r="K100" s="29"/>
      <c r="L100" s="31"/>
    </row>
    <row r="101" spans="1:12" s="17" customFormat="1" ht="12.75">
      <c r="A101" s="1065" t="s">
        <v>96</v>
      </c>
      <c r="B101" s="1065"/>
      <c r="C101" s="1065"/>
      <c r="D101" s="1065"/>
      <c r="E101" s="1065"/>
      <c r="F101" s="1065"/>
      <c r="G101" s="1065"/>
      <c r="H101" s="1065"/>
      <c r="I101" s="338">
        <f>I99+I100</f>
        <v>2.4400000000000002E-2</v>
      </c>
      <c r="J101" s="339">
        <f>J99+J100</f>
        <v>56.474800399999999</v>
      </c>
      <c r="K101" s="29"/>
    </row>
    <row r="102" spans="1:12" s="17" customFormat="1" ht="12.75">
      <c r="A102" s="1065" t="s">
        <v>17</v>
      </c>
      <c r="B102" s="1065"/>
      <c r="C102" s="1065"/>
      <c r="D102" s="1065"/>
      <c r="E102" s="1065"/>
      <c r="F102" s="1065"/>
      <c r="G102" s="1065"/>
      <c r="H102" s="1065"/>
      <c r="I102" s="1065"/>
      <c r="J102" s="339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56.474800399999999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(J35+J36+J37)/180*1.5*15</f>
        <v>252.57387499999999</v>
      </c>
      <c r="K107" s="29">
        <v>21.6</v>
      </c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309.04000000000002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1630.20612247381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065" t="s">
        <v>71</v>
      </c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3.5" thickBot="1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352">
        <v>0.04</v>
      </c>
      <c r="J119" s="242">
        <f>TRUNC(I119*J144,2)</f>
        <v>190.91</v>
      </c>
      <c r="K119" s="29"/>
      <c r="Q119" s="16"/>
      <c r="R119" s="128"/>
    </row>
    <row r="120" spans="1:18" s="17" customFormat="1" ht="15.75" thickBot="1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52">
        <v>0.03</v>
      </c>
      <c r="J120" s="242">
        <f>TRUNC(I120*(J119+J144),2)</f>
        <v>148.91</v>
      </c>
      <c r="Q120" s="358">
        <f>Q151</f>
        <v>-813.45374931581864</v>
      </c>
    </row>
    <row r="121" spans="1:18" s="17" customFormat="1" ht="12.75">
      <c r="A121" s="33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36.369999999999997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167.9</v>
      </c>
      <c r="K123" s="25">
        <f>J151</f>
        <v>134321.44499178982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2.75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279.83</v>
      </c>
    </row>
    <row r="126" spans="1:18" s="17" customFormat="1" ht="12.75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0.15650000000000003</v>
      </c>
      <c r="J126" s="249">
        <f>TRUNC(SUM(J119:J125),2)</f>
        <v>823.92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5112.6099999999997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5596.7268746579093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484.11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2314.5409999999997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1894.76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165.25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309.04000000000002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4772.79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823.92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5596.7268746579093</v>
      </c>
      <c r="K146" s="16"/>
      <c r="L146" s="34">
        <v>4822.8100000000004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11193.453749315819</v>
      </c>
      <c r="L148" s="34">
        <f>L146*L147</f>
        <v>33759.670000000006</v>
      </c>
      <c r="Q148" s="353" t="s">
        <v>244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  <c r="Q149" s="354">
        <v>10380</v>
      </c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11193.453749315819</v>
      </c>
      <c r="L150" s="34"/>
      <c r="Q150" s="354">
        <f>J148</f>
        <v>11193.453749315819</v>
      </c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134321.44499178982</v>
      </c>
      <c r="L151" s="34">
        <f>L148*12</f>
        <v>405116.04000000004</v>
      </c>
      <c r="Q151" s="354">
        <f>Q149-Q150</f>
        <v>-813.45374931581864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  <c r="K153" s="25" t="e">
        <f>J148+#REF!</f>
        <v>#REF!</v>
      </c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4" orientation="portrait" r:id="rId1"/>
  <headerFooter>
    <oddHeader>&amp;L&amp;G&amp;R&amp;G</oddHeader>
    <oddFooter xml:space="preserve">&amp;R
</oddFooter>
  </headerFooter>
  <rowBreaks count="1" manualBreakCount="1">
    <brk id="74" max="9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S155"/>
  <sheetViews>
    <sheetView view="pageBreakPreview" topLeftCell="A29" zoomScale="80" zoomScaleNormal="100" zoomScaleSheetLayoutView="80" workbookViewId="0">
      <selection activeCell="S88" sqref="S88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7109375" style="2" hidden="1" customWidth="1"/>
    <col min="13" max="13" width="26.28515625" style="2" hidden="1" customWidth="1"/>
    <col min="14" max="14" width="17.5703125" style="2" hidden="1" customWidth="1"/>
    <col min="15" max="15" width="19" style="2" hidden="1" customWidth="1"/>
    <col min="16" max="16" width="4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6.25" customHeight="1"/>
    <row r="2" spans="1:13" s="6" customFormat="1" ht="14.4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287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203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251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7.75" customHeight="1">
      <c r="A14" s="315">
        <v>1</v>
      </c>
      <c r="B14" s="1007" t="s">
        <v>25</v>
      </c>
      <c r="C14" s="1008"/>
      <c r="D14" s="1008"/>
      <c r="E14" s="1008"/>
      <c r="F14" s="1009"/>
      <c r="G14" s="1010" t="str">
        <f>A7</f>
        <v>VIGILANCIA DESARMADA 12 HORAS DIURNAS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008"/>
      <c r="D15" s="1008"/>
      <c r="E15" s="1008"/>
      <c r="F15" s="1009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008"/>
      <c r="D16" s="1008"/>
      <c r="E16" s="1008"/>
      <c r="F16" s="1009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008"/>
      <c r="D17" s="1008"/>
      <c r="E17" s="1008"/>
      <c r="F17" s="1009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30" t="s">
        <v>76</v>
      </c>
      <c r="B19" s="1030"/>
      <c r="C19" s="1030"/>
      <c r="D19" s="1030"/>
      <c r="E19" s="1030"/>
      <c r="F19" s="1030"/>
      <c r="G19" s="1030"/>
      <c r="H19" s="1030"/>
      <c r="I19" s="1030"/>
      <c r="J19" s="1030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30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DIURNAS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2" t="s">
        <v>81</v>
      </c>
      <c r="C27" s="1033"/>
      <c r="D27" s="1033"/>
      <c r="E27" s="1033"/>
      <c r="F27" s="1033"/>
      <c r="G27" s="1033"/>
      <c r="H27" s="1008"/>
      <c r="I27" s="1009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0</v>
      </c>
      <c r="J37" s="276">
        <f>((J35+J36)/220)*0.2*I37</f>
        <v>0</v>
      </c>
      <c r="K37" s="22"/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0</v>
      </c>
      <c r="J38" s="276">
        <f>I38*14.89</f>
        <v>0</v>
      </c>
      <c r="K38" s="22"/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0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1821.3909999999998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1821.3909999999998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65" t="s">
        <v>47</v>
      </c>
      <c r="B48" s="1065"/>
      <c r="C48" s="1065"/>
      <c r="D48" s="1065"/>
      <c r="E48" s="1065"/>
      <c r="F48" s="1065"/>
      <c r="G48" s="1065"/>
      <c r="H48" s="1065"/>
      <c r="I48" s="395" t="s">
        <v>3</v>
      </c>
      <c r="J48" s="395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151.72187029999998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151.72187029999998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16.815828482309996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320.25956908230995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428.33011381646196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53.541264227057745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64.249517072469288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32.124758536234644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21.416505690823097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12.849903414493857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4.2833011381646191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171.33204552658478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788.12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8.2790499999999998</v>
      </c>
      <c r="L71" s="31"/>
      <c r="Q71" s="25">
        <f>K71*1.5</f>
        <v>12.418575000000001</v>
      </c>
    </row>
    <row r="72" spans="1:19" s="17" customFormat="1" ht="12.75">
      <c r="A72" s="269" t="s">
        <v>12</v>
      </c>
      <c r="B72" s="1235" t="s">
        <v>179</v>
      </c>
      <c r="C72" s="1235"/>
      <c r="D72" s="1235"/>
      <c r="E72" s="1235"/>
      <c r="F72" s="1235"/>
      <c r="G72" s="1235"/>
      <c r="H72" s="1235"/>
      <c r="I72" s="400">
        <f>Q72</f>
        <v>16.5581</v>
      </c>
      <c r="J72" s="271">
        <f>I72</f>
        <v>16.5581</v>
      </c>
      <c r="K72" s="27">
        <f>J43/220</f>
        <v>8.2790499999999998</v>
      </c>
      <c r="L72" s="31"/>
      <c r="Q72" s="25">
        <f>K72*2</f>
        <v>16.5581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484.51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320.25956908230995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788.12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484.51</v>
      </c>
      <c r="K79" s="29"/>
      <c r="L79" s="31"/>
    </row>
    <row r="80" spans="1:19" s="17" customFormat="1" ht="12.75">
      <c r="A80" s="291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1592.88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416">
        <v>4.4999999999999997E-3</v>
      </c>
      <c r="J83" s="246">
        <f>J44*I83</f>
        <v>8.1962594999999983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417">
        <f>I83*I62</f>
        <v>3.5999999999999997E-4</v>
      </c>
      <c r="J84" s="242">
        <f>I84*J44</f>
        <v>0.65570075999999988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36.427819999999997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35.334985400000001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13.003274627200001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36.427819999999997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130.04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30.963646999999998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8.1962594999999983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0.3642782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4.9177556999999998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44.4419404</v>
      </c>
      <c r="K99" s="29"/>
      <c r="L99" s="31"/>
    </row>
    <row r="100" spans="1:12" s="17" customFormat="1" ht="13.5" customHeight="1">
      <c r="A100" s="256" t="s">
        <v>13</v>
      </c>
      <c r="B100" s="1027" t="s">
        <v>165</v>
      </c>
      <c r="C100" s="1027"/>
      <c r="D100" s="1027"/>
      <c r="E100" s="1027"/>
      <c r="F100" s="1027"/>
      <c r="G100" s="1027"/>
      <c r="H100" s="1027"/>
      <c r="I100" s="257"/>
      <c r="J100" s="258"/>
      <c r="K100" s="29"/>
      <c r="L100" s="31"/>
    </row>
    <row r="101" spans="1:12" s="17" customFormat="1" ht="12.75">
      <c r="A101" s="1030" t="s">
        <v>96</v>
      </c>
      <c r="B101" s="1030"/>
      <c r="C101" s="1030"/>
      <c r="D101" s="1030"/>
      <c r="E101" s="1030"/>
      <c r="F101" s="1030"/>
      <c r="G101" s="1030"/>
      <c r="H101" s="1030"/>
      <c r="I101" s="259">
        <f>I99+I100</f>
        <v>2.4400000000000002E-2</v>
      </c>
      <c r="J101" s="260">
        <f>J99+J100</f>
        <v>44.4419404</v>
      </c>
      <c r="K101" s="29"/>
    </row>
    <row r="102" spans="1:12" s="17" customFormat="1" ht="12.75">
      <c r="A102" s="1030" t="s">
        <v>17</v>
      </c>
      <c r="B102" s="1030"/>
      <c r="C102" s="1030"/>
      <c r="D102" s="1030"/>
      <c r="E102" s="1030"/>
      <c r="F102" s="1030"/>
      <c r="G102" s="1030"/>
      <c r="H102" s="1030"/>
      <c r="I102" s="1030"/>
      <c r="J102" s="260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44.4419404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((J35+J36)/180)*1.5*15</f>
        <v>227.67387499999998</v>
      </c>
      <c r="K107" s="29"/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272.11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1282.8615094823099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257" t="s">
        <v>71</v>
      </c>
      <c r="B117" s="1257"/>
      <c r="C117" s="1257"/>
      <c r="D117" s="1257"/>
      <c r="E117" s="1257"/>
      <c r="F117" s="1257"/>
      <c r="G117" s="1257"/>
      <c r="H117" s="1257"/>
      <c r="I117" s="1257"/>
      <c r="J117" s="1257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2.75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411">
        <v>8.6302400000000001E-2</v>
      </c>
      <c r="J119" s="242">
        <f>TRUNC(I119*J144,2)</f>
        <v>337.06</v>
      </c>
      <c r="K119" s="29"/>
      <c r="Q119" s="16"/>
      <c r="R119" s="128"/>
    </row>
    <row r="120" spans="1:18" s="17" customFormat="1" ht="12.75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89">
        <v>7.6499999999999999E-2</v>
      </c>
      <c r="J120" s="242">
        <f>TRUNC(I120*(J119+J144),2)</f>
        <v>324.56</v>
      </c>
      <c r="Q120" s="16"/>
    </row>
    <row r="121" spans="1:18" s="17" customFormat="1" ht="12.75">
      <c r="A121" s="39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32.49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149.99</v>
      </c>
      <c r="K123" s="25">
        <f>J151</f>
        <v>119993.16912972089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3.5" thickBot="1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249.98</v>
      </c>
    </row>
    <row r="126" spans="1:18" s="17" customFormat="1" ht="15.75" thickBot="1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0.24930240000000004</v>
      </c>
      <c r="J126" s="249">
        <f>TRUNC(SUM(J119:J125),2)</f>
        <v>1094.08</v>
      </c>
      <c r="Q126" s="358">
        <f>Q148</f>
        <v>-1509.4307608100735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4567.24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4999.7153804050358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432.47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1821.3909999999998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1592.88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130.04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272.11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3905.62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1094.08</v>
      </c>
      <c r="Q145" s="353" t="s">
        <v>244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4999.7153804050367</v>
      </c>
      <c r="K146" s="16"/>
      <c r="L146" s="34">
        <v>4822.8100000000004</v>
      </c>
      <c r="Q146" s="354">
        <v>8490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  <c r="Q147" s="354">
        <f>J150</f>
        <v>9999.4307608100735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9999.4307608100735</v>
      </c>
      <c r="L148" s="34">
        <f>L146*L147</f>
        <v>33759.670000000006</v>
      </c>
      <c r="Q148" s="354">
        <f>Q146-Q147</f>
        <v>-1509.4307608100735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9999.4307608100735</v>
      </c>
      <c r="L150" s="34"/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119993.16912972089</v>
      </c>
      <c r="L151" s="34">
        <f>L148*12</f>
        <v>405116.04000000004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7" orientation="portrait" r:id="rId1"/>
  <headerFooter>
    <oddHeader>&amp;L&amp;G&amp;R&amp;G</oddHeader>
    <oddFooter xml:space="preserve">&amp;R
</oddFooter>
  </headerFooter>
  <rowBreaks count="2" manualBreakCount="2">
    <brk id="74" max="9" man="1"/>
    <brk id="154" max="9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S155"/>
  <sheetViews>
    <sheetView view="pageBreakPreview" topLeftCell="A138" zoomScale="80" zoomScaleNormal="100" zoomScaleSheetLayoutView="80" workbookViewId="0">
      <selection activeCell="A26" sqref="A26:J26"/>
    </sheetView>
  </sheetViews>
  <sheetFormatPr defaultRowHeight="15"/>
  <cols>
    <col min="1" max="1" width="5.42578125" style="236" customWidth="1"/>
    <col min="2" max="2" width="3.5703125" style="236" customWidth="1"/>
    <col min="3" max="3" width="9.140625" style="236"/>
    <col min="4" max="4" width="12.7109375" style="236" customWidth="1"/>
    <col min="5" max="5" width="9.140625" style="236"/>
    <col min="6" max="6" width="25.7109375" style="236" customWidth="1"/>
    <col min="7" max="7" width="19.140625" style="236" customWidth="1"/>
    <col min="8" max="8" width="20.28515625" style="236" customWidth="1"/>
    <col min="9" max="9" width="10.140625" style="236" customWidth="1"/>
    <col min="10" max="10" width="17.5703125" style="236" customWidth="1"/>
    <col min="11" max="11" width="12.5703125" style="2" customWidth="1"/>
    <col min="12" max="12" width="19.42578125" style="2" hidden="1" customWidth="1"/>
    <col min="13" max="13" width="9.85546875" style="2" hidden="1" customWidth="1"/>
    <col min="14" max="14" width="7.5703125" style="2" hidden="1" customWidth="1"/>
    <col min="15" max="15" width="10.5703125" style="2" hidden="1" customWidth="1"/>
    <col min="16" max="16" width="19.85546875" style="2" hidden="1" customWidth="1"/>
    <col min="17" max="17" width="14.28515625" style="2" bestFit="1" customWidth="1"/>
    <col min="18" max="18" width="9.5703125" style="2" bestFit="1" customWidth="1"/>
    <col min="19" max="16384" width="9.140625" style="2"/>
  </cols>
  <sheetData>
    <row r="1" spans="1:13" ht="22.5" customHeight="1"/>
    <row r="2" spans="1:13" s="6" customFormat="1" ht="15.75" customHeight="1">
      <c r="A2" s="987" t="s">
        <v>245</v>
      </c>
      <c r="B2" s="987"/>
      <c r="C2" s="987"/>
      <c r="D2" s="987"/>
      <c r="E2" s="987"/>
      <c r="F2" s="987"/>
      <c r="G2" s="987"/>
      <c r="H2" s="987"/>
      <c r="I2" s="987"/>
      <c r="J2" s="987"/>
      <c r="K2" s="5"/>
      <c r="L2" s="5"/>
      <c r="M2" s="5"/>
    </row>
    <row r="3" spans="1:13" s="5" customFormat="1" ht="10.5" customHeight="1">
      <c r="A3" s="392"/>
      <c r="B3" s="393"/>
      <c r="C3" s="393"/>
      <c r="D3" s="393"/>
      <c r="E3" s="393"/>
      <c r="F3" s="393"/>
      <c r="G3" s="393"/>
      <c r="H3" s="393"/>
      <c r="I3" s="393"/>
      <c r="J3" s="394"/>
    </row>
    <row r="4" spans="1:13" s="6" customFormat="1" ht="12.75">
      <c r="A4" s="1239" t="s">
        <v>139</v>
      </c>
      <c r="B4" s="1240"/>
      <c r="C4" s="1240"/>
      <c r="D4" s="1240"/>
      <c r="E4" s="1240"/>
      <c r="F4" s="1240"/>
      <c r="G4" s="1240"/>
      <c r="H4" s="1240"/>
      <c r="I4" s="1240"/>
      <c r="J4" s="1241"/>
      <c r="K4" s="5"/>
      <c r="L4" s="5"/>
      <c r="M4" s="5"/>
    </row>
    <row r="5" spans="1:13" s="6" customFormat="1" ht="16.5" customHeight="1">
      <c r="A5" s="995"/>
      <c r="B5" s="996"/>
      <c r="C5" s="996"/>
      <c r="D5" s="996"/>
      <c r="E5" s="996"/>
      <c r="F5" s="996"/>
      <c r="G5" s="996"/>
      <c r="H5" s="996"/>
      <c r="I5" s="342" t="s">
        <v>127</v>
      </c>
      <c r="J5" s="290" t="s">
        <v>246</v>
      </c>
      <c r="K5" s="5"/>
      <c r="L5" s="5"/>
      <c r="M5" s="5"/>
    </row>
    <row r="6" spans="1:13" s="6" customFormat="1" ht="12.75">
      <c r="A6" s="1011" t="s">
        <v>23</v>
      </c>
      <c r="B6" s="1012"/>
      <c r="C6" s="1012"/>
      <c r="D6" s="1012"/>
      <c r="E6" s="1012"/>
      <c r="F6" s="1012"/>
      <c r="G6" s="1012"/>
      <c r="H6" s="1012"/>
      <c r="I6" s="1012"/>
      <c r="J6" s="1013"/>
      <c r="K6" s="5"/>
      <c r="L6" s="5"/>
      <c r="M6" s="5"/>
    </row>
    <row r="7" spans="1:13" s="6" customFormat="1" ht="12.75">
      <c r="A7" s="1014" t="s">
        <v>204</v>
      </c>
      <c r="B7" s="1014"/>
      <c r="C7" s="1014"/>
      <c r="D7" s="1014"/>
      <c r="E7" s="1014"/>
      <c r="F7" s="1014"/>
      <c r="G7" s="1014"/>
      <c r="H7" s="1014"/>
      <c r="I7" s="1014"/>
      <c r="J7" s="1014"/>
      <c r="K7" s="5"/>
      <c r="L7" s="5"/>
      <c r="M7" s="5"/>
    </row>
    <row r="8" spans="1:13" s="6" customFormat="1" ht="12.75">
      <c r="A8" s="391" t="s">
        <v>128</v>
      </c>
      <c r="B8" s="313" t="s">
        <v>129</v>
      </c>
      <c r="C8" s="314"/>
      <c r="D8" s="314"/>
      <c r="E8" s="314"/>
      <c r="F8" s="314"/>
      <c r="G8" s="1015" t="str">
        <f>J5</f>
        <v>27/11/2020 - 09:30H</v>
      </c>
      <c r="H8" s="1015"/>
      <c r="I8" s="1015"/>
      <c r="J8" s="1015"/>
      <c r="K8" s="5"/>
      <c r="L8" s="5"/>
      <c r="M8" s="5"/>
    </row>
    <row r="9" spans="1:13" s="6" customFormat="1" ht="12.75">
      <c r="A9" s="391" t="s">
        <v>8</v>
      </c>
      <c r="B9" s="1001" t="s">
        <v>130</v>
      </c>
      <c r="C9" s="1002"/>
      <c r="D9" s="1002"/>
      <c r="E9" s="1002"/>
      <c r="F9" s="1003"/>
      <c r="G9" s="1015" t="s">
        <v>251</v>
      </c>
      <c r="H9" s="1015"/>
      <c r="I9" s="1015"/>
      <c r="J9" s="1015"/>
      <c r="K9" s="5"/>
      <c r="L9" s="5"/>
      <c r="M9" s="5"/>
    </row>
    <row r="10" spans="1:13" s="6" customFormat="1" ht="16.5" customHeight="1">
      <c r="A10" s="391" t="s">
        <v>9</v>
      </c>
      <c r="B10" s="313" t="s">
        <v>131</v>
      </c>
      <c r="C10" s="314"/>
      <c r="D10" s="314"/>
      <c r="E10" s="314"/>
      <c r="F10" s="314"/>
      <c r="G10" s="1015" t="s">
        <v>176</v>
      </c>
      <c r="H10" s="1004"/>
      <c r="I10" s="1004"/>
      <c r="J10" s="1004"/>
      <c r="K10" s="5"/>
      <c r="L10" s="5"/>
      <c r="M10" s="5"/>
    </row>
    <row r="11" spans="1:13" s="6" customFormat="1" ht="16.5" customHeight="1">
      <c r="A11" s="391" t="s">
        <v>10</v>
      </c>
      <c r="B11" s="313" t="s">
        <v>132</v>
      </c>
      <c r="C11" s="314"/>
      <c r="D11" s="314"/>
      <c r="E11" s="314"/>
      <c r="F11" s="314"/>
      <c r="G11" s="1004">
        <v>12</v>
      </c>
      <c r="H11" s="1004"/>
      <c r="I11" s="1004"/>
      <c r="J11" s="1004"/>
      <c r="K11" s="5"/>
      <c r="L11" s="5"/>
      <c r="M11" s="5"/>
    </row>
    <row r="12" spans="1:13" s="6" customFormat="1" ht="16.5" customHeight="1">
      <c r="A12" s="1014" t="s">
        <v>133</v>
      </c>
      <c r="B12" s="1014"/>
      <c r="C12" s="1014"/>
      <c r="D12" s="1014"/>
      <c r="E12" s="1014"/>
      <c r="F12" s="1014"/>
      <c r="G12" s="1014"/>
      <c r="H12" s="1014"/>
      <c r="I12" s="1014"/>
      <c r="J12" s="1014"/>
      <c r="K12" s="5"/>
      <c r="L12" s="5"/>
      <c r="M12" s="5"/>
    </row>
    <row r="13" spans="1:13" s="6" customFormat="1" ht="12.75">
      <c r="A13" s="1236" t="s">
        <v>134</v>
      </c>
      <c r="B13" s="1236"/>
      <c r="C13" s="1236"/>
      <c r="D13" s="1236"/>
      <c r="E13" s="1236"/>
      <c r="F13" s="1236"/>
      <c r="G13" s="1236"/>
      <c r="H13" s="1236"/>
      <c r="I13" s="1236"/>
      <c r="J13" s="1236"/>
      <c r="K13" s="5"/>
      <c r="L13" s="5"/>
      <c r="M13" s="5"/>
    </row>
    <row r="14" spans="1:13" s="6" customFormat="1" ht="28.5" customHeight="1">
      <c r="A14" s="315">
        <v>1</v>
      </c>
      <c r="B14" s="1007" t="s">
        <v>25</v>
      </c>
      <c r="C14" s="1130"/>
      <c r="D14" s="1130"/>
      <c r="E14" s="1130"/>
      <c r="F14" s="1131"/>
      <c r="G14" s="1010" t="str">
        <f>A7</f>
        <v>VIGILANCIA DESARMADA 12 HORAS NOTURNAS 12X36 DE SEGUNDA FEIRA A DOMINGO</v>
      </c>
      <c r="H14" s="1010"/>
      <c r="I14" s="1010"/>
      <c r="J14" s="1010"/>
      <c r="K14" s="5"/>
      <c r="L14" s="5"/>
      <c r="M14" s="5"/>
    </row>
    <row r="15" spans="1:13" s="6" customFormat="1" ht="12.75">
      <c r="A15" s="315">
        <v>2</v>
      </c>
      <c r="B15" s="1007" t="s">
        <v>135</v>
      </c>
      <c r="C15" s="1130"/>
      <c r="D15" s="1130"/>
      <c r="E15" s="1130"/>
      <c r="F15" s="1131"/>
      <c r="G15" s="1024" t="s">
        <v>136</v>
      </c>
      <c r="H15" s="1024"/>
      <c r="I15" s="1024"/>
      <c r="J15" s="1024"/>
      <c r="K15" s="5"/>
      <c r="L15" s="5"/>
      <c r="M15" s="5"/>
    </row>
    <row r="16" spans="1:13" s="6" customFormat="1" ht="12.75">
      <c r="A16" s="315">
        <v>3</v>
      </c>
      <c r="B16" s="1007" t="s">
        <v>137</v>
      </c>
      <c r="C16" s="1130"/>
      <c r="D16" s="1130"/>
      <c r="E16" s="1130"/>
      <c r="F16" s="1131"/>
      <c r="G16" s="1025">
        <v>1401.07</v>
      </c>
      <c r="H16" s="1025"/>
      <c r="I16" s="1025"/>
      <c r="J16" s="1025"/>
      <c r="K16" s="5"/>
      <c r="L16" s="5"/>
      <c r="M16" s="5"/>
    </row>
    <row r="17" spans="1:13" s="6" customFormat="1" ht="12.75">
      <c r="A17" s="315">
        <v>4</v>
      </c>
      <c r="B17" s="1007" t="s">
        <v>138</v>
      </c>
      <c r="C17" s="1130"/>
      <c r="D17" s="1130"/>
      <c r="E17" s="1130"/>
      <c r="F17" s="1131"/>
      <c r="G17" s="1026">
        <v>43831</v>
      </c>
      <c r="H17" s="1024"/>
      <c r="I17" s="1024"/>
      <c r="J17" s="1024"/>
      <c r="K17" s="5"/>
      <c r="L17" s="5"/>
      <c r="M17" s="5"/>
    </row>
    <row r="18" spans="1:13" s="17" customFormat="1" ht="12.75">
      <c r="A18" s="291"/>
      <c r="B18" s="397"/>
      <c r="C18" s="405"/>
      <c r="D18" s="405"/>
      <c r="E18" s="405"/>
      <c r="F18" s="405"/>
      <c r="G18" s="405"/>
      <c r="H18" s="405"/>
      <c r="I18" s="405"/>
      <c r="J18" s="398"/>
    </row>
    <row r="19" spans="1:13" s="17" customFormat="1" ht="12.75">
      <c r="A19" s="1065" t="s">
        <v>76</v>
      </c>
      <c r="B19" s="1065"/>
      <c r="C19" s="1065"/>
      <c r="D19" s="1065"/>
      <c r="E19" s="1065"/>
      <c r="F19" s="1065"/>
      <c r="G19" s="1065"/>
      <c r="H19" s="1065"/>
      <c r="I19" s="1065"/>
      <c r="J19" s="1065"/>
    </row>
    <row r="20" spans="1:13" s="17" customFormat="1" ht="12.75">
      <c r="A20" s="291"/>
      <c r="B20" s="397"/>
      <c r="C20" s="405"/>
      <c r="D20" s="405"/>
      <c r="E20" s="405"/>
      <c r="F20" s="405"/>
      <c r="G20" s="405"/>
      <c r="H20" s="405"/>
      <c r="I20" s="397"/>
      <c r="J20" s="398"/>
    </row>
    <row r="21" spans="1:13" s="17" customFormat="1" ht="27.75" customHeight="1">
      <c r="A21" s="1021" t="s">
        <v>25</v>
      </c>
      <c r="B21" s="1021"/>
      <c r="C21" s="1021"/>
      <c r="D21" s="1021"/>
      <c r="E21" s="1021"/>
      <c r="F21" s="1021"/>
      <c r="G21" s="396" t="s">
        <v>26</v>
      </c>
      <c r="H21" s="1242" t="s">
        <v>27</v>
      </c>
      <c r="I21" s="1242"/>
      <c r="J21" s="1242"/>
    </row>
    <row r="22" spans="1:13" s="17" customFormat="1" ht="27.75" customHeight="1">
      <c r="A22" s="1254" t="str">
        <f>G14</f>
        <v>VIGILANCIA DESARMADA 12 HORAS NOTURNAS 12X36 DE SEGUNDA FEIRA A DOMINGO</v>
      </c>
      <c r="B22" s="1255"/>
      <c r="C22" s="1255"/>
      <c r="D22" s="1255"/>
      <c r="E22" s="1255"/>
      <c r="F22" s="1255"/>
      <c r="G22" s="285" t="s">
        <v>94</v>
      </c>
      <c r="H22" s="1242">
        <v>12</v>
      </c>
      <c r="I22" s="1242"/>
      <c r="J22" s="1242"/>
    </row>
    <row r="23" spans="1:13" s="17" customFormat="1" ht="12.75">
      <c r="A23" s="291"/>
      <c r="B23" s="397"/>
      <c r="C23" s="405"/>
      <c r="D23" s="405"/>
      <c r="E23" s="405"/>
      <c r="F23" s="405"/>
      <c r="G23" s="405"/>
      <c r="H23" s="405"/>
      <c r="I23" s="405"/>
      <c r="J23" s="398"/>
    </row>
    <row r="24" spans="1:13" s="17" customFormat="1" ht="12.75">
      <c r="A24" s="1014" t="s">
        <v>140</v>
      </c>
      <c r="B24" s="1014"/>
      <c r="C24" s="1014"/>
      <c r="D24" s="1014"/>
      <c r="E24" s="1014"/>
      <c r="F24" s="1014"/>
      <c r="G24" s="1014"/>
      <c r="H24" s="1014"/>
      <c r="I24" s="1014"/>
      <c r="J24" s="1014"/>
    </row>
    <row r="25" spans="1:13" s="17" customFormat="1" ht="12.75">
      <c r="A25" s="291"/>
      <c r="B25" s="405"/>
      <c r="C25" s="405"/>
      <c r="D25" s="405"/>
      <c r="E25" s="405"/>
      <c r="F25" s="405"/>
      <c r="G25" s="405"/>
      <c r="H25" s="405"/>
      <c r="I25" s="405"/>
      <c r="J25" s="398"/>
    </row>
    <row r="26" spans="1:13" s="17" customFormat="1" ht="12.75">
      <c r="A26" s="1065" t="s">
        <v>38</v>
      </c>
      <c r="B26" s="1065"/>
      <c r="C26" s="1065"/>
      <c r="D26" s="1065"/>
      <c r="E26" s="1065"/>
      <c r="F26" s="1065"/>
      <c r="G26" s="1065"/>
      <c r="H26" s="1065"/>
      <c r="I26" s="1065"/>
      <c r="J26" s="1065"/>
    </row>
    <row r="27" spans="1:13" s="17" customFormat="1" ht="12.75">
      <c r="A27" s="238">
        <v>1</v>
      </c>
      <c r="B27" s="1038" t="s">
        <v>81</v>
      </c>
      <c r="C27" s="1039"/>
      <c r="D27" s="1039"/>
      <c r="E27" s="1039"/>
      <c r="F27" s="1039"/>
      <c r="G27" s="1039"/>
      <c r="H27" s="1039"/>
      <c r="I27" s="1040"/>
      <c r="J27" s="238" t="s">
        <v>141</v>
      </c>
    </row>
    <row r="28" spans="1:13" s="17" customFormat="1" ht="12.75">
      <c r="A28" s="238">
        <v>2</v>
      </c>
      <c r="B28" s="1027" t="s">
        <v>39</v>
      </c>
      <c r="C28" s="1027"/>
      <c r="D28" s="1027"/>
      <c r="E28" s="1027"/>
      <c r="F28" s="1027"/>
      <c r="G28" s="1027"/>
      <c r="H28" s="1027"/>
      <c r="I28" s="1027"/>
      <c r="J28" s="238" t="s">
        <v>121</v>
      </c>
    </row>
    <row r="29" spans="1:13" s="17" customFormat="1" ht="12.75">
      <c r="A29" s="238">
        <v>3</v>
      </c>
      <c r="B29" s="1027" t="s">
        <v>6</v>
      </c>
      <c r="C29" s="1027"/>
      <c r="D29" s="1027"/>
      <c r="E29" s="1027"/>
      <c r="F29" s="1027"/>
      <c r="G29" s="1027"/>
      <c r="H29" s="1027"/>
      <c r="I29" s="1027"/>
      <c r="J29" s="282">
        <f>G16</f>
        <v>1401.07</v>
      </c>
    </row>
    <row r="30" spans="1:13" s="17" customFormat="1" ht="12.75">
      <c r="A30" s="238">
        <v>4</v>
      </c>
      <c r="B30" s="1027" t="s">
        <v>177</v>
      </c>
      <c r="C30" s="1027"/>
      <c r="D30" s="1027"/>
      <c r="E30" s="1027"/>
      <c r="F30" s="1027"/>
      <c r="G30" s="1027"/>
      <c r="H30" s="1027"/>
      <c r="I30" s="1027"/>
      <c r="J30" s="238" t="s">
        <v>108</v>
      </c>
    </row>
    <row r="31" spans="1:13" s="17" customFormat="1" ht="12.75">
      <c r="A31" s="238">
        <v>6</v>
      </c>
      <c r="B31" s="1027" t="s">
        <v>5</v>
      </c>
      <c r="C31" s="1027"/>
      <c r="D31" s="1027"/>
      <c r="E31" s="1027"/>
      <c r="F31" s="1027"/>
      <c r="G31" s="1027"/>
      <c r="H31" s="1027"/>
      <c r="I31" s="1027"/>
      <c r="J31" s="283">
        <v>43831</v>
      </c>
    </row>
    <row r="32" spans="1:13" s="17" customFormat="1" ht="12.75">
      <c r="A32" s="291"/>
      <c r="B32" s="1028"/>
      <c r="C32" s="1028"/>
      <c r="D32" s="1028"/>
      <c r="E32" s="1028"/>
      <c r="F32" s="1028"/>
      <c r="G32" s="1028"/>
      <c r="H32" s="1028"/>
      <c r="I32" s="1028"/>
      <c r="J32" s="1029"/>
    </row>
    <row r="33" spans="1:18" s="17" customFormat="1" ht="12.75">
      <c r="A33" s="1065" t="s">
        <v>23</v>
      </c>
      <c r="B33" s="1065"/>
      <c r="C33" s="1065"/>
      <c r="D33" s="1065"/>
      <c r="E33" s="1065"/>
      <c r="F33" s="1065"/>
      <c r="G33" s="1065"/>
      <c r="H33" s="1065"/>
      <c r="I33" s="1065"/>
      <c r="J33" s="1065"/>
    </row>
    <row r="34" spans="1:18" s="17" customFormat="1" ht="12.75">
      <c r="A34" s="238">
        <v>1</v>
      </c>
      <c r="B34" s="1031" t="s">
        <v>15</v>
      </c>
      <c r="C34" s="1031"/>
      <c r="D34" s="1031"/>
      <c r="E34" s="1031"/>
      <c r="F34" s="1031"/>
      <c r="G34" s="1031"/>
      <c r="H34" s="1031"/>
      <c r="I34" s="399" t="s">
        <v>3</v>
      </c>
      <c r="J34" s="399" t="s">
        <v>1</v>
      </c>
    </row>
    <row r="35" spans="1:18" s="17" customFormat="1" ht="12.75">
      <c r="A35" s="238" t="s">
        <v>7</v>
      </c>
      <c r="B35" s="1027" t="s">
        <v>24</v>
      </c>
      <c r="C35" s="1027"/>
      <c r="D35" s="1027"/>
      <c r="E35" s="1027"/>
      <c r="F35" s="1027"/>
      <c r="G35" s="1027"/>
      <c r="H35" s="1027"/>
      <c r="I35" s="275">
        <v>1</v>
      </c>
      <c r="J35" s="276">
        <f>J29</f>
        <v>1401.07</v>
      </c>
      <c r="K35" s="21"/>
    </row>
    <row r="36" spans="1:18" s="17" customFormat="1" ht="12.75">
      <c r="A36" s="238" t="s">
        <v>8</v>
      </c>
      <c r="B36" s="1027" t="s">
        <v>40</v>
      </c>
      <c r="C36" s="1027"/>
      <c r="D36" s="1027"/>
      <c r="E36" s="1027"/>
      <c r="F36" s="1027"/>
      <c r="G36" s="1027"/>
      <c r="H36" s="1027"/>
      <c r="I36" s="261">
        <v>0.3</v>
      </c>
      <c r="J36" s="276">
        <f>J35*I36</f>
        <v>420.32099999999997</v>
      </c>
      <c r="K36" s="21"/>
    </row>
    <row r="37" spans="1:18" s="17" customFormat="1" ht="12.75">
      <c r="A37" s="238" t="s">
        <v>9</v>
      </c>
      <c r="B37" s="1027" t="s">
        <v>2</v>
      </c>
      <c r="C37" s="1027"/>
      <c r="D37" s="1027"/>
      <c r="E37" s="1027"/>
      <c r="F37" s="1027"/>
      <c r="G37" s="1027"/>
      <c r="H37" s="1027"/>
      <c r="I37" s="277">
        <v>120</v>
      </c>
      <c r="J37" s="276">
        <f>K37*I37</f>
        <v>199.2</v>
      </c>
      <c r="K37" s="22">
        <v>1.66</v>
      </c>
      <c r="P37" s="17">
        <f>O37*12</f>
        <v>0</v>
      </c>
      <c r="Q37" s="16"/>
      <c r="R37" s="23"/>
    </row>
    <row r="38" spans="1:18" s="17" customFormat="1" ht="12.75">
      <c r="A38" s="238" t="s">
        <v>10</v>
      </c>
      <c r="B38" s="1027" t="s">
        <v>109</v>
      </c>
      <c r="C38" s="1027"/>
      <c r="D38" s="1027"/>
      <c r="E38" s="1027"/>
      <c r="F38" s="1027"/>
      <c r="G38" s="1027"/>
      <c r="H38" s="1027"/>
      <c r="I38" s="277">
        <v>15</v>
      </c>
      <c r="J38" s="276">
        <f>K38*I38</f>
        <v>223.5</v>
      </c>
      <c r="K38" s="22">
        <v>14.9</v>
      </c>
      <c r="Q38" s="16"/>
      <c r="R38" s="16"/>
    </row>
    <row r="39" spans="1:18" s="17" customFormat="1" ht="12.75" hidden="1">
      <c r="A39" s="238"/>
      <c r="B39" s="243"/>
      <c r="C39" s="1027" t="s">
        <v>111</v>
      </c>
      <c r="D39" s="1027"/>
      <c r="E39" s="1027"/>
      <c r="F39" s="1027"/>
      <c r="G39" s="1027"/>
      <c r="H39" s="1027"/>
      <c r="I39" s="278">
        <v>0</v>
      </c>
      <c r="J39" s="276">
        <f>I39*15</f>
        <v>0</v>
      </c>
      <c r="K39" s="22"/>
    </row>
    <row r="40" spans="1:18" s="17" customFormat="1" ht="12.75" hidden="1">
      <c r="A40" s="238"/>
      <c r="B40" s="399"/>
      <c r="C40" s="1027" t="s">
        <v>110</v>
      </c>
      <c r="D40" s="1027"/>
      <c r="E40" s="1027"/>
      <c r="F40" s="1027"/>
      <c r="G40" s="1027"/>
      <c r="H40" s="1027"/>
      <c r="I40" s="278">
        <v>0</v>
      </c>
      <c r="J40" s="276">
        <f>J39/6</f>
        <v>0</v>
      </c>
      <c r="K40" s="22"/>
    </row>
    <row r="41" spans="1:18" s="17" customFormat="1" ht="12.75" hidden="1">
      <c r="A41" s="238"/>
      <c r="B41" s="399"/>
      <c r="C41" s="1027" t="s">
        <v>112</v>
      </c>
      <c r="D41" s="1027"/>
      <c r="E41" s="1027"/>
      <c r="F41" s="1027"/>
      <c r="G41" s="1027"/>
      <c r="H41" s="1027"/>
      <c r="I41" s="279">
        <v>0</v>
      </c>
      <c r="J41" s="276">
        <f>I41*I37</f>
        <v>0</v>
      </c>
      <c r="K41" s="22"/>
    </row>
    <row r="42" spans="1:18" s="17" customFormat="1" ht="12.75">
      <c r="A42" s="238" t="s">
        <v>11</v>
      </c>
      <c r="B42" s="1027" t="s">
        <v>123</v>
      </c>
      <c r="C42" s="1027"/>
      <c r="D42" s="1027"/>
      <c r="E42" s="1027"/>
      <c r="F42" s="1027"/>
      <c r="G42" s="1027"/>
      <c r="H42" s="1027"/>
      <c r="I42" s="280"/>
      <c r="J42" s="276">
        <f>(J37+J38)/6</f>
        <v>70.45</v>
      </c>
      <c r="K42" s="22"/>
      <c r="Q42" s="24"/>
    </row>
    <row r="43" spans="1:18" s="17" customFormat="1" ht="12.75">
      <c r="A43" s="1031" t="s">
        <v>95</v>
      </c>
      <c r="B43" s="1031"/>
      <c r="C43" s="1031"/>
      <c r="D43" s="1031"/>
      <c r="E43" s="1031"/>
      <c r="F43" s="1031"/>
      <c r="G43" s="1031"/>
      <c r="H43" s="1031"/>
      <c r="I43" s="1031"/>
      <c r="J43" s="274">
        <f>SUM(J35:J42)</f>
        <v>2314.5409999999997</v>
      </c>
      <c r="K43" s="22"/>
      <c r="Q43" s="25"/>
      <c r="R43" s="23"/>
    </row>
    <row r="44" spans="1:18" s="17" customFormat="1" ht="12.75">
      <c r="A44" s="1031" t="s">
        <v>57</v>
      </c>
      <c r="B44" s="1031"/>
      <c r="C44" s="1031"/>
      <c r="D44" s="1031"/>
      <c r="E44" s="1031"/>
      <c r="F44" s="1031"/>
      <c r="G44" s="1031"/>
      <c r="H44" s="1031"/>
      <c r="I44" s="1031"/>
      <c r="J44" s="281">
        <f>SUM(J43)</f>
        <v>2314.5409999999997</v>
      </c>
      <c r="K44" s="22"/>
      <c r="Q44" s="25"/>
    </row>
    <row r="45" spans="1:18" s="17" customFormat="1" ht="12.75">
      <c r="A45" s="291"/>
      <c r="B45" s="404"/>
      <c r="C45" s="404"/>
      <c r="D45" s="404"/>
      <c r="E45" s="404"/>
      <c r="F45" s="404"/>
      <c r="G45" s="404"/>
      <c r="H45" s="404"/>
      <c r="I45" s="404"/>
      <c r="J45" s="293"/>
      <c r="K45" s="27"/>
      <c r="Q45" s="25"/>
    </row>
    <row r="46" spans="1:18" s="17" customFormat="1" ht="12.75">
      <c r="A46" s="291"/>
      <c r="B46" s="404"/>
      <c r="C46" s="404"/>
      <c r="D46" s="404"/>
      <c r="E46" s="404"/>
      <c r="F46" s="404"/>
      <c r="G46" s="404"/>
      <c r="H46" s="404"/>
      <c r="I46" s="404"/>
      <c r="J46" s="294"/>
      <c r="K46" s="29"/>
    </row>
    <row r="47" spans="1:18" s="17" customFormat="1" ht="12.75">
      <c r="A47" s="1065" t="s">
        <v>41</v>
      </c>
      <c r="B47" s="1065"/>
      <c r="C47" s="1065"/>
      <c r="D47" s="1065"/>
      <c r="E47" s="1065"/>
      <c r="F47" s="1065"/>
      <c r="G47" s="1065"/>
      <c r="H47" s="1065"/>
      <c r="I47" s="1065"/>
      <c r="J47" s="1065"/>
      <c r="K47" s="29"/>
      <c r="M47" s="390"/>
    </row>
    <row r="48" spans="1:18" s="17" customFormat="1" ht="12.75">
      <c r="A48" s="1031" t="s">
        <v>47</v>
      </c>
      <c r="B48" s="1031"/>
      <c r="C48" s="1031"/>
      <c r="D48" s="1031"/>
      <c r="E48" s="1031"/>
      <c r="F48" s="1031"/>
      <c r="G48" s="1031"/>
      <c r="H48" s="1031"/>
      <c r="I48" s="399" t="s">
        <v>3</v>
      </c>
      <c r="J48" s="399" t="s">
        <v>1</v>
      </c>
      <c r="K48" s="29"/>
      <c r="L48" s="16"/>
      <c r="M48" s="390"/>
    </row>
    <row r="49" spans="1:12" s="17" customFormat="1" ht="12.75">
      <c r="A49" s="238" t="s">
        <v>7</v>
      </c>
      <c r="B49" s="1027" t="s">
        <v>178</v>
      </c>
      <c r="C49" s="1027"/>
      <c r="D49" s="1027"/>
      <c r="E49" s="1027"/>
      <c r="F49" s="1027"/>
      <c r="G49" s="1027"/>
      <c r="H49" s="1027"/>
      <c r="I49" s="389">
        <v>8.3299999999999999E-2</v>
      </c>
      <c r="J49" s="274">
        <f>$J$43*I49</f>
        <v>192.80126529999998</v>
      </c>
      <c r="K49" s="29"/>
      <c r="L49" s="30"/>
    </row>
    <row r="50" spans="1:12" s="17" customFormat="1" ht="12.75">
      <c r="A50" s="238" t="s">
        <v>8</v>
      </c>
      <c r="B50" s="1027" t="s">
        <v>172</v>
      </c>
      <c r="C50" s="1027"/>
      <c r="D50" s="1027"/>
      <c r="E50" s="1027"/>
      <c r="F50" s="1027"/>
      <c r="G50" s="1027"/>
      <c r="H50" s="1027"/>
      <c r="I50" s="389">
        <v>8.3299999999999999E-2</v>
      </c>
      <c r="J50" s="274">
        <f>I50*J43</f>
        <v>192.80126529999998</v>
      </c>
      <c r="K50" s="29"/>
      <c r="L50" s="30"/>
    </row>
    <row r="51" spans="1:12" s="17" customFormat="1" ht="12.75">
      <c r="A51" s="238" t="s">
        <v>9</v>
      </c>
      <c r="B51" s="1027" t="s">
        <v>174</v>
      </c>
      <c r="C51" s="1027"/>
      <c r="D51" s="1027"/>
      <c r="E51" s="1027"/>
      <c r="F51" s="1027"/>
      <c r="G51" s="1027"/>
      <c r="H51" s="1027"/>
      <c r="I51" s="254">
        <v>2.7699999999999999E-2</v>
      </c>
      <c r="J51" s="274">
        <f>(J43*33.33%)*I51</f>
        <v>21.368791473809996</v>
      </c>
      <c r="K51" s="124"/>
      <c r="L51" s="30"/>
    </row>
    <row r="52" spans="1:12" s="17" customFormat="1" ht="12.75">
      <c r="A52" s="1065" t="s">
        <v>43</v>
      </c>
      <c r="B52" s="1065"/>
      <c r="C52" s="1065"/>
      <c r="D52" s="1065"/>
      <c r="E52" s="1065"/>
      <c r="F52" s="1065"/>
      <c r="G52" s="1065"/>
      <c r="H52" s="1065"/>
      <c r="I52" s="338">
        <f>SUM(I49:I51)</f>
        <v>0.1943</v>
      </c>
      <c r="J52" s="341">
        <f>SUM(J49:J51)</f>
        <v>406.97132207380997</v>
      </c>
      <c r="K52" s="29"/>
      <c r="L52" s="31"/>
    </row>
    <row r="53" spans="1:12" s="17" customFormat="1" ht="12.75">
      <c r="A53" s="1058"/>
      <c r="B53" s="1028"/>
      <c r="C53" s="1028"/>
      <c r="D53" s="1028"/>
      <c r="E53" s="1028"/>
      <c r="F53" s="1028"/>
      <c r="G53" s="1028"/>
      <c r="H53" s="1028"/>
      <c r="I53" s="1028"/>
      <c r="J53" s="1029"/>
      <c r="K53" s="29"/>
      <c r="L53" s="31"/>
    </row>
    <row r="54" spans="1:12" s="17" customFormat="1" ht="12.75">
      <c r="A54" s="1065" t="s">
        <v>48</v>
      </c>
      <c r="B54" s="1065"/>
      <c r="C54" s="1065"/>
      <c r="D54" s="1065"/>
      <c r="E54" s="1065"/>
      <c r="F54" s="1065"/>
      <c r="G54" s="1065"/>
      <c r="H54" s="1065"/>
      <c r="I54" s="395" t="s">
        <v>3</v>
      </c>
      <c r="J54" s="395" t="s">
        <v>1</v>
      </c>
      <c r="K54" s="29"/>
      <c r="L54" s="31"/>
    </row>
    <row r="55" spans="1:12" s="17" customFormat="1" ht="12.75">
      <c r="A55" s="238" t="s">
        <v>7</v>
      </c>
      <c r="B55" s="1068" t="s">
        <v>84</v>
      </c>
      <c r="C55" s="1068"/>
      <c r="D55" s="1068"/>
      <c r="E55" s="1068"/>
      <c r="F55" s="1068"/>
      <c r="G55" s="1068"/>
      <c r="H55" s="1068"/>
      <c r="I55" s="272">
        <v>0.2</v>
      </c>
      <c r="J55" s="273">
        <f>I55*(J52+J43)</f>
        <v>544.30246441476197</v>
      </c>
      <c r="K55" s="29"/>
      <c r="L55" s="31"/>
    </row>
    <row r="56" spans="1:12" s="17" customFormat="1" ht="14.25" customHeight="1">
      <c r="A56" s="238" t="s">
        <v>8</v>
      </c>
      <c r="B56" s="1068" t="s">
        <v>85</v>
      </c>
      <c r="C56" s="1068"/>
      <c r="D56" s="1068"/>
      <c r="E56" s="1068"/>
      <c r="F56" s="1068"/>
      <c r="G56" s="1068"/>
      <c r="H56" s="1068"/>
      <c r="I56" s="272">
        <v>2.5000000000000001E-2</v>
      </c>
      <c r="J56" s="273">
        <f>I56*(J52+J43)</f>
        <v>68.037808051845246</v>
      </c>
      <c r="K56" s="29"/>
      <c r="L56" s="31"/>
    </row>
    <row r="57" spans="1:12" s="17" customFormat="1" ht="19.5" customHeight="1">
      <c r="A57" s="238" t="s">
        <v>9</v>
      </c>
      <c r="B57" s="1069" t="s">
        <v>166</v>
      </c>
      <c r="C57" s="1069"/>
      <c r="D57" s="1069"/>
      <c r="E57" s="1069"/>
      <c r="F57" s="1069"/>
      <c r="G57" s="1069"/>
      <c r="H57" s="1069"/>
      <c r="I57" s="272">
        <v>0.03</v>
      </c>
      <c r="J57" s="273">
        <f>I57*(J52+J43)</f>
        <v>81.645369662214293</v>
      </c>
      <c r="K57" s="29"/>
      <c r="L57" s="32"/>
    </row>
    <row r="58" spans="1:12" s="17" customFormat="1" ht="14.25" customHeight="1">
      <c r="A58" s="238" t="s">
        <v>10</v>
      </c>
      <c r="B58" s="1068" t="s">
        <v>45</v>
      </c>
      <c r="C58" s="1068"/>
      <c r="D58" s="1068"/>
      <c r="E58" s="1068"/>
      <c r="F58" s="1068"/>
      <c r="G58" s="1068"/>
      <c r="H58" s="1068"/>
      <c r="I58" s="272">
        <v>1.4999999999999999E-2</v>
      </c>
      <c r="J58" s="273">
        <f>I58*(J52+J43)</f>
        <v>40.822684831107146</v>
      </c>
      <c r="K58" s="29"/>
      <c r="L58" s="31"/>
    </row>
    <row r="59" spans="1:12" s="17" customFormat="1" ht="14.25" customHeight="1">
      <c r="A59" s="238" t="s">
        <v>11</v>
      </c>
      <c r="B59" s="1068" t="s">
        <v>86</v>
      </c>
      <c r="C59" s="1068"/>
      <c r="D59" s="1068"/>
      <c r="E59" s="1068"/>
      <c r="F59" s="1068"/>
      <c r="G59" s="1068"/>
      <c r="H59" s="1068"/>
      <c r="I59" s="272">
        <v>0.01</v>
      </c>
      <c r="J59" s="273">
        <f>I59*(J52+J44)</f>
        <v>27.215123220738096</v>
      </c>
      <c r="K59" s="29"/>
      <c r="L59" s="31"/>
    </row>
    <row r="60" spans="1:12" s="17" customFormat="1" ht="12.75">
      <c r="A60" s="238" t="s">
        <v>12</v>
      </c>
      <c r="B60" s="1069" t="s">
        <v>87</v>
      </c>
      <c r="C60" s="1069"/>
      <c r="D60" s="1069"/>
      <c r="E60" s="1069"/>
      <c r="F60" s="1069"/>
      <c r="G60" s="1069"/>
      <c r="H60" s="1069"/>
      <c r="I60" s="272">
        <v>6.0000000000000001E-3</v>
      </c>
      <c r="J60" s="273">
        <f>I60*(J52+J43)</f>
        <v>16.329073932442856</v>
      </c>
      <c r="K60" s="29"/>
      <c r="L60" s="31"/>
    </row>
    <row r="61" spans="1:12" s="17" customFormat="1" ht="12.75">
      <c r="A61" s="238" t="s">
        <v>13</v>
      </c>
      <c r="B61" s="1069" t="s">
        <v>88</v>
      </c>
      <c r="C61" s="1069"/>
      <c r="D61" s="1069"/>
      <c r="E61" s="1069"/>
      <c r="F61" s="1069"/>
      <c r="G61" s="1069"/>
      <c r="H61" s="1069"/>
      <c r="I61" s="272">
        <v>2E-3</v>
      </c>
      <c r="J61" s="273">
        <f>I61*(J52+J43)</f>
        <v>5.4430246441476191</v>
      </c>
      <c r="K61" s="29"/>
      <c r="L61" s="31"/>
    </row>
    <row r="62" spans="1:12" s="17" customFormat="1" ht="12.75">
      <c r="A62" s="238" t="s">
        <v>14</v>
      </c>
      <c r="B62" s="1069" t="s">
        <v>89</v>
      </c>
      <c r="C62" s="1069"/>
      <c r="D62" s="1069"/>
      <c r="E62" s="1069"/>
      <c r="F62" s="1069"/>
      <c r="G62" s="1069"/>
      <c r="H62" s="1069"/>
      <c r="I62" s="272">
        <v>0.08</v>
      </c>
      <c r="J62" s="273">
        <f>I62*(J52+J43)</f>
        <v>217.72098576590477</v>
      </c>
      <c r="K62" s="29"/>
      <c r="L62" s="31"/>
    </row>
    <row r="63" spans="1:12" s="17" customFormat="1" ht="12.75">
      <c r="A63" s="1065" t="s">
        <v>46</v>
      </c>
      <c r="B63" s="1065"/>
      <c r="C63" s="1065"/>
      <c r="D63" s="1065"/>
      <c r="E63" s="1065"/>
      <c r="F63" s="1065"/>
      <c r="G63" s="1065"/>
      <c r="H63" s="1065"/>
      <c r="I63" s="338">
        <f>SUM(I55:I62)</f>
        <v>0.36800000000000005</v>
      </c>
      <c r="J63" s="340">
        <f>TRUNC(SUM(J55:J62),2)</f>
        <v>1001.51</v>
      </c>
      <c r="K63" s="29"/>
      <c r="L63" s="31"/>
    </row>
    <row r="64" spans="1:12" s="17" customFormat="1" ht="12.75">
      <c r="A64" s="291"/>
      <c r="B64" s="1070"/>
      <c r="C64" s="1070"/>
      <c r="D64" s="1070"/>
      <c r="E64" s="1070"/>
      <c r="F64" s="1070"/>
      <c r="G64" s="1070"/>
      <c r="H64" s="1070"/>
      <c r="I64" s="1070"/>
      <c r="J64" s="1070"/>
      <c r="K64" s="29"/>
      <c r="L64" s="31"/>
    </row>
    <row r="65" spans="1:19" s="17" customFormat="1" ht="12.75">
      <c r="A65" s="1065" t="s">
        <v>49</v>
      </c>
      <c r="B65" s="1065"/>
      <c r="C65" s="1065"/>
      <c r="D65" s="1065"/>
      <c r="E65" s="1065"/>
      <c r="F65" s="1065"/>
      <c r="G65" s="1065"/>
      <c r="H65" s="1065"/>
      <c r="I65" s="1065" t="s">
        <v>1</v>
      </c>
      <c r="J65" s="1065"/>
      <c r="K65" s="29"/>
      <c r="L65" s="31"/>
    </row>
    <row r="66" spans="1:19" s="17" customFormat="1" ht="13.5" customHeight="1">
      <c r="A66" s="1229" t="s">
        <v>7</v>
      </c>
      <c r="B66" s="1243" t="s">
        <v>113</v>
      </c>
      <c r="C66" s="1243"/>
      <c r="D66" s="1243"/>
      <c r="E66" s="266" t="s">
        <v>90</v>
      </c>
      <c r="F66" s="266" t="s">
        <v>91</v>
      </c>
      <c r="G66" s="266" t="s">
        <v>92</v>
      </c>
      <c r="H66" s="266" t="s">
        <v>93</v>
      </c>
      <c r="I66" s="1231"/>
      <c r="J66" s="1232">
        <f>(E67*F67*G67)-(J35*H67)/2</f>
        <v>65.9679</v>
      </c>
      <c r="K66" s="29"/>
      <c r="L66" s="30"/>
    </row>
    <row r="67" spans="1:19" s="17" customFormat="1" ht="12.75">
      <c r="A67" s="1229"/>
      <c r="B67" s="1243"/>
      <c r="C67" s="1243"/>
      <c r="D67" s="1243"/>
      <c r="E67" s="267">
        <v>3.6</v>
      </c>
      <c r="F67" s="268">
        <v>2</v>
      </c>
      <c r="G67" s="268">
        <v>15</v>
      </c>
      <c r="H67" s="266">
        <v>0.06</v>
      </c>
      <c r="I67" s="1231"/>
      <c r="J67" s="1232"/>
      <c r="K67" s="29"/>
      <c r="L67" s="31"/>
      <c r="Q67" s="131">
        <f>E67*F67*G67</f>
        <v>108</v>
      </c>
      <c r="R67" s="132">
        <f>J35*6%/2</f>
        <v>42.0321</v>
      </c>
      <c r="S67" s="131">
        <f>Q67-R67</f>
        <v>65.9679</v>
      </c>
    </row>
    <row r="68" spans="1:19" s="17" customFormat="1" ht="12.75" customHeight="1">
      <c r="A68" s="269" t="s">
        <v>8</v>
      </c>
      <c r="B68" s="1233" t="s">
        <v>173</v>
      </c>
      <c r="C68" s="1233"/>
      <c r="D68" s="1233"/>
      <c r="E68" s="1233"/>
      <c r="F68" s="1233"/>
      <c r="G68" s="1233"/>
      <c r="H68" s="1233"/>
      <c r="I68" s="400">
        <v>26</v>
      </c>
      <c r="J68" s="271">
        <f>(I68*15)*0.99</f>
        <v>386.1</v>
      </c>
      <c r="K68" s="29"/>
      <c r="L68" s="31"/>
    </row>
    <row r="69" spans="1:19" s="17" customFormat="1" ht="12.75" customHeight="1">
      <c r="A69" s="269" t="s">
        <v>9</v>
      </c>
      <c r="B69" s="1233" t="s">
        <v>146</v>
      </c>
      <c r="C69" s="1233"/>
      <c r="D69" s="1233"/>
      <c r="E69" s="1233"/>
      <c r="F69" s="1233"/>
      <c r="G69" s="1233"/>
      <c r="H69" s="1233"/>
      <c r="I69" s="400">
        <v>2</v>
      </c>
      <c r="J69" s="271">
        <f>I69</f>
        <v>2</v>
      </c>
      <c r="K69" s="29"/>
      <c r="L69" s="31"/>
    </row>
    <row r="70" spans="1:19" s="17" customFormat="1" ht="12.75">
      <c r="A70" s="269" t="s">
        <v>10</v>
      </c>
      <c r="B70" s="1234" t="s">
        <v>98</v>
      </c>
      <c r="C70" s="1234"/>
      <c r="D70" s="1234"/>
      <c r="E70" s="1234"/>
      <c r="F70" s="1234"/>
      <c r="G70" s="1234"/>
      <c r="H70" s="1234"/>
      <c r="I70" s="400">
        <v>0</v>
      </c>
      <c r="J70" s="271">
        <v>13.89</v>
      </c>
      <c r="K70" s="29"/>
      <c r="L70" s="31"/>
    </row>
    <row r="71" spans="1:19" s="17" customFormat="1" ht="12.75" customHeight="1">
      <c r="A71" s="269" t="s">
        <v>11</v>
      </c>
      <c r="B71" s="1233" t="s">
        <v>175</v>
      </c>
      <c r="C71" s="1233"/>
      <c r="D71" s="1233"/>
      <c r="E71" s="1233"/>
      <c r="F71" s="1233"/>
      <c r="G71" s="1233"/>
      <c r="H71" s="1233"/>
      <c r="I71" s="400">
        <v>0</v>
      </c>
      <c r="J71" s="271">
        <f>I71*15</f>
        <v>0</v>
      </c>
      <c r="K71" s="27">
        <f>J44/220</f>
        <v>10.520640909090908</v>
      </c>
      <c r="L71" s="31"/>
      <c r="Q71" s="25">
        <f>K71*1.5</f>
        <v>15.780961363636361</v>
      </c>
    </row>
    <row r="72" spans="1:19" s="17" customFormat="1" ht="12.75">
      <c r="A72" s="269" t="s">
        <v>12</v>
      </c>
      <c r="B72" s="1235" t="s">
        <v>205</v>
      </c>
      <c r="C72" s="1235"/>
      <c r="D72" s="1235"/>
      <c r="E72" s="1235"/>
      <c r="F72" s="1235"/>
      <c r="G72" s="1235"/>
      <c r="H72" s="1235"/>
      <c r="I72" s="400">
        <v>18.329999999999998</v>
      </c>
      <c r="J72" s="271">
        <f>I72</f>
        <v>18.329999999999998</v>
      </c>
      <c r="K72" s="27">
        <f>J43/220</f>
        <v>10.520640909090908</v>
      </c>
      <c r="L72" s="31"/>
      <c r="Q72" s="25">
        <f>K72*2</f>
        <v>21.041281818181815</v>
      </c>
    </row>
    <row r="73" spans="1:19" s="17" customFormat="1" ht="12.75">
      <c r="A73" s="1034" t="s">
        <v>50</v>
      </c>
      <c r="B73" s="1034"/>
      <c r="C73" s="1034"/>
      <c r="D73" s="1034"/>
      <c r="E73" s="1034"/>
      <c r="F73" s="1034"/>
      <c r="G73" s="1034"/>
      <c r="H73" s="1034"/>
      <c r="I73" s="1034"/>
      <c r="J73" s="271">
        <f>TRUNC(SUM(J66:J72),2)</f>
        <v>486.28</v>
      </c>
      <c r="K73" s="29"/>
      <c r="L73" s="31"/>
    </row>
    <row r="74" spans="1:19" s="17" customFormat="1" ht="12.75">
      <c r="A74" s="291"/>
      <c r="B74" s="1041"/>
      <c r="C74" s="1041"/>
      <c r="D74" s="1041"/>
      <c r="E74" s="1041"/>
      <c r="F74" s="1041"/>
      <c r="G74" s="1041"/>
      <c r="H74" s="1041"/>
      <c r="I74" s="1041"/>
      <c r="J74" s="1042"/>
      <c r="K74" s="29"/>
      <c r="L74" s="31"/>
    </row>
    <row r="75" spans="1:19" s="17" customFormat="1" ht="12.75">
      <c r="A75" s="1065" t="s">
        <v>51</v>
      </c>
      <c r="B75" s="1065"/>
      <c r="C75" s="1065"/>
      <c r="D75" s="1065"/>
      <c r="E75" s="1065"/>
      <c r="F75" s="1065"/>
      <c r="G75" s="1065"/>
      <c r="H75" s="1065"/>
      <c r="I75" s="1065"/>
      <c r="J75" s="1065"/>
      <c r="K75" s="29"/>
      <c r="L75" s="31"/>
    </row>
    <row r="76" spans="1:19" s="17" customFormat="1" ht="12.75">
      <c r="A76" s="1065" t="s">
        <v>55</v>
      </c>
      <c r="B76" s="1065"/>
      <c r="C76" s="1065"/>
      <c r="D76" s="1065"/>
      <c r="E76" s="1065"/>
      <c r="F76" s="1065"/>
      <c r="G76" s="1065"/>
      <c r="H76" s="1065"/>
      <c r="I76" s="1065"/>
      <c r="J76" s="395" t="s">
        <v>1</v>
      </c>
      <c r="K76" s="29"/>
      <c r="L76" s="31"/>
    </row>
    <row r="77" spans="1:19" s="17" customFormat="1" ht="12.75">
      <c r="A77" s="402" t="s">
        <v>52</v>
      </c>
      <c r="B77" s="1044" t="s">
        <v>42</v>
      </c>
      <c r="C77" s="1044"/>
      <c r="D77" s="1044"/>
      <c r="E77" s="1044"/>
      <c r="F77" s="1044"/>
      <c r="G77" s="1044"/>
      <c r="H77" s="1044"/>
      <c r="I77" s="1044"/>
      <c r="J77" s="242">
        <f>J52</f>
        <v>406.97132207380997</v>
      </c>
      <c r="K77" s="29"/>
      <c r="L77" s="31"/>
    </row>
    <row r="78" spans="1:19" s="17" customFormat="1" ht="12.75">
      <c r="A78" s="264" t="s">
        <v>53</v>
      </c>
      <c r="B78" s="1044" t="s">
        <v>44</v>
      </c>
      <c r="C78" s="1044"/>
      <c r="D78" s="1044"/>
      <c r="E78" s="1044"/>
      <c r="F78" s="1044"/>
      <c r="G78" s="1044"/>
      <c r="H78" s="1044"/>
      <c r="I78" s="1044"/>
      <c r="J78" s="246">
        <f>J63</f>
        <v>1001.51</v>
      </c>
      <c r="K78" s="29"/>
      <c r="L78" s="31"/>
    </row>
    <row r="79" spans="1:19" s="17" customFormat="1" ht="12.75">
      <c r="A79" s="264" t="s">
        <v>54</v>
      </c>
      <c r="B79" s="1044" t="s">
        <v>56</v>
      </c>
      <c r="C79" s="1044"/>
      <c r="D79" s="1044"/>
      <c r="E79" s="1044"/>
      <c r="F79" s="1044"/>
      <c r="G79" s="1044"/>
      <c r="H79" s="1044"/>
      <c r="I79" s="1044"/>
      <c r="J79" s="246">
        <f>J73</f>
        <v>486.28</v>
      </c>
      <c r="K79" s="29"/>
      <c r="L79" s="31"/>
    </row>
    <row r="80" spans="1:19" s="17" customFormat="1" ht="12.75">
      <c r="A80" s="316"/>
      <c r="B80" s="1031" t="s">
        <v>58</v>
      </c>
      <c r="C80" s="1031"/>
      <c r="D80" s="1031"/>
      <c r="E80" s="1031"/>
      <c r="F80" s="1031"/>
      <c r="G80" s="1031"/>
      <c r="H80" s="1031"/>
      <c r="I80" s="1031"/>
      <c r="J80" s="265">
        <f>TRUNC(SUM(J77:J79),2)</f>
        <v>1894.76</v>
      </c>
      <c r="K80" s="29"/>
      <c r="L80" s="31"/>
    </row>
    <row r="81" spans="1:12" s="17" customFormat="1" ht="12.75">
      <c r="A81" s="1065" t="s">
        <v>59</v>
      </c>
      <c r="B81" s="1065"/>
      <c r="C81" s="1065"/>
      <c r="D81" s="1065"/>
      <c r="E81" s="1065"/>
      <c r="F81" s="1065"/>
      <c r="G81" s="1065"/>
      <c r="H81" s="1065"/>
      <c r="I81" s="1065"/>
      <c r="J81" s="1065"/>
      <c r="K81" s="29"/>
    </row>
    <row r="82" spans="1:12" s="17" customFormat="1" ht="12.75">
      <c r="A82" s="399">
        <v>3</v>
      </c>
      <c r="B82" s="1031" t="s">
        <v>60</v>
      </c>
      <c r="C82" s="1031"/>
      <c r="D82" s="1031"/>
      <c r="E82" s="1031"/>
      <c r="F82" s="1031"/>
      <c r="G82" s="1031"/>
      <c r="H82" s="1031"/>
      <c r="I82" s="399" t="s">
        <v>3</v>
      </c>
      <c r="J82" s="399" t="s">
        <v>1</v>
      </c>
      <c r="K82" s="29"/>
    </row>
    <row r="83" spans="1:12" s="17" customFormat="1" ht="12.75">
      <c r="A83" s="399" t="s">
        <v>7</v>
      </c>
      <c r="B83" s="1051" t="s">
        <v>101</v>
      </c>
      <c r="C83" s="1051"/>
      <c r="D83" s="1051"/>
      <c r="E83" s="1051"/>
      <c r="F83" s="1051"/>
      <c r="G83" s="1051"/>
      <c r="H83" s="1051"/>
      <c r="I83" s="384">
        <v>4.4999999999999997E-3</v>
      </c>
      <c r="J83" s="246">
        <f>J44*I83</f>
        <v>10.415434499999998</v>
      </c>
      <c r="K83" s="29"/>
      <c r="L83" s="33"/>
    </row>
    <row r="84" spans="1:12" s="17" customFormat="1" ht="12.75">
      <c r="A84" s="399" t="s">
        <v>8</v>
      </c>
      <c r="B84" s="1044" t="s">
        <v>102</v>
      </c>
      <c r="C84" s="1044"/>
      <c r="D84" s="1044"/>
      <c r="E84" s="1044"/>
      <c r="F84" s="1044"/>
      <c r="G84" s="1044"/>
      <c r="H84" s="1044"/>
      <c r="I84" s="386">
        <f>I83*I62</f>
        <v>3.5999999999999997E-4</v>
      </c>
      <c r="J84" s="242">
        <f>I84*J44</f>
        <v>0.83323475999999985</v>
      </c>
      <c r="K84" s="29"/>
      <c r="L84" s="31"/>
    </row>
    <row r="85" spans="1:12" s="17" customFormat="1" ht="12.75">
      <c r="A85" s="399" t="s">
        <v>9</v>
      </c>
      <c r="B85" s="1051" t="s">
        <v>103</v>
      </c>
      <c r="C85" s="1051"/>
      <c r="D85" s="1051"/>
      <c r="E85" s="1051"/>
      <c r="F85" s="1051"/>
      <c r="G85" s="1051"/>
      <c r="H85" s="1051"/>
      <c r="I85" s="384">
        <v>0.02</v>
      </c>
      <c r="J85" s="242">
        <f>I85*J43</f>
        <v>46.290819999999997</v>
      </c>
      <c r="K85" s="29"/>
      <c r="L85" s="33"/>
    </row>
    <row r="86" spans="1:12" s="17" customFormat="1" ht="12.75">
      <c r="A86" s="399" t="s">
        <v>10</v>
      </c>
      <c r="B86" s="1044" t="s">
        <v>104</v>
      </c>
      <c r="C86" s="1044"/>
      <c r="D86" s="1044"/>
      <c r="E86" s="1044"/>
      <c r="F86" s="1044"/>
      <c r="G86" s="1044"/>
      <c r="H86" s="1044"/>
      <c r="I86" s="385">
        <v>1.9400000000000001E-2</v>
      </c>
      <c r="J86" s="242">
        <f>I86*J43</f>
        <v>44.902095399999993</v>
      </c>
      <c r="K86" s="29"/>
      <c r="L86" s="31"/>
    </row>
    <row r="87" spans="1:12" s="17" customFormat="1" ht="12.75">
      <c r="A87" s="399" t="s">
        <v>11</v>
      </c>
      <c r="B87" s="1044" t="s">
        <v>105</v>
      </c>
      <c r="C87" s="1044"/>
      <c r="D87" s="1044"/>
      <c r="E87" s="1044"/>
      <c r="F87" s="1044"/>
      <c r="G87" s="1044"/>
      <c r="H87" s="1044"/>
      <c r="I87" s="386">
        <f>I63*I86</f>
        <v>7.1392000000000009E-3</v>
      </c>
      <c r="J87" s="242">
        <f>I87*J43</f>
        <v>16.523971107200001</v>
      </c>
      <c r="K87" s="29"/>
      <c r="L87" s="31"/>
    </row>
    <row r="88" spans="1:12" s="17" customFormat="1" ht="12.75">
      <c r="A88" s="399" t="s">
        <v>12</v>
      </c>
      <c r="B88" s="1051" t="s">
        <v>106</v>
      </c>
      <c r="C88" s="1051"/>
      <c r="D88" s="1051"/>
      <c r="E88" s="1051"/>
      <c r="F88" s="1051"/>
      <c r="G88" s="1051"/>
      <c r="H88" s="1051"/>
      <c r="I88" s="384">
        <v>0.02</v>
      </c>
      <c r="J88" s="242">
        <f>I88*J43</f>
        <v>46.290819999999997</v>
      </c>
      <c r="K88" s="29"/>
      <c r="L88" s="33"/>
    </row>
    <row r="89" spans="1:12" s="17" customFormat="1" ht="12.75">
      <c r="A89" s="1030" t="s">
        <v>61</v>
      </c>
      <c r="B89" s="1030"/>
      <c r="C89" s="1030"/>
      <c r="D89" s="1030"/>
      <c r="E89" s="1030"/>
      <c r="F89" s="1030"/>
      <c r="G89" s="1030"/>
      <c r="H89" s="1030"/>
      <c r="I89" s="262">
        <f>SUM(I83:I88)</f>
        <v>7.1399199999999996E-2</v>
      </c>
      <c r="J89" s="252">
        <f>TRUNC(SUM(J83:J88),2)</f>
        <v>165.25</v>
      </c>
      <c r="K89" s="29"/>
      <c r="L89" s="31"/>
    </row>
    <row r="90" spans="1:12" s="17" customFormat="1" ht="12.75">
      <c r="A90" s="291"/>
      <c r="B90" s="1052"/>
      <c r="C90" s="1053"/>
      <c r="D90" s="1053"/>
      <c r="E90" s="1053"/>
      <c r="F90" s="1053"/>
      <c r="G90" s="1053"/>
      <c r="H90" s="1053"/>
      <c r="I90" s="1053"/>
      <c r="J90" s="1054"/>
      <c r="K90" s="29"/>
    </row>
    <row r="91" spans="1:12" s="17" customFormat="1" ht="12.75">
      <c r="A91" s="1256" t="s">
        <v>62</v>
      </c>
      <c r="B91" s="1256"/>
      <c r="C91" s="1256"/>
      <c r="D91" s="1256"/>
      <c r="E91" s="1256"/>
      <c r="F91" s="1256"/>
      <c r="G91" s="1256"/>
      <c r="H91" s="1256"/>
      <c r="I91" s="1256"/>
      <c r="J91" s="1256"/>
      <c r="K91" s="29"/>
    </row>
    <row r="92" spans="1:12" s="17" customFormat="1" ht="12.75">
      <c r="A92" s="1031" t="s">
        <v>63</v>
      </c>
      <c r="B92" s="1031"/>
      <c r="C92" s="1031"/>
      <c r="D92" s="1031"/>
      <c r="E92" s="1031"/>
      <c r="F92" s="1031"/>
      <c r="G92" s="1031"/>
      <c r="H92" s="1031"/>
      <c r="I92" s="399" t="s">
        <v>3</v>
      </c>
      <c r="J92" s="399" t="s">
        <v>1</v>
      </c>
      <c r="K92" s="29"/>
    </row>
    <row r="93" spans="1:12" s="17" customFormat="1" ht="12.75">
      <c r="A93" s="399" t="s">
        <v>7</v>
      </c>
      <c r="B93" s="1044" t="s">
        <v>180</v>
      </c>
      <c r="C93" s="1044"/>
      <c r="D93" s="1044"/>
      <c r="E93" s="1044"/>
      <c r="F93" s="1044"/>
      <c r="G93" s="1044"/>
      <c r="H93" s="1044"/>
      <c r="I93" s="254">
        <v>1.7000000000000001E-2</v>
      </c>
      <c r="J93" s="242">
        <f>$J$43*I93</f>
        <v>39.347197000000001</v>
      </c>
      <c r="K93" s="29"/>
      <c r="L93" s="31"/>
    </row>
    <row r="94" spans="1:12" s="17" customFormat="1" ht="12.75">
      <c r="A94" s="243" t="s">
        <v>8</v>
      </c>
      <c r="B94" s="1044" t="s">
        <v>181</v>
      </c>
      <c r="C94" s="1044"/>
      <c r="D94" s="1044"/>
      <c r="E94" s="1044"/>
      <c r="F94" s="1044"/>
      <c r="G94" s="1044"/>
      <c r="H94" s="1044"/>
      <c r="I94" s="254">
        <v>4.4999999999999997E-3</v>
      </c>
      <c r="J94" s="246">
        <f t="shared" ref="J94:J98" si="0">$J$43*I94</f>
        <v>10.415434499999998</v>
      </c>
      <c r="K94" s="29"/>
      <c r="L94" s="31"/>
    </row>
    <row r="95" spans="1:12" s="17" customFormat="1" ht="12.75">
      <c r="A95" s="243" t="s">
        <v>9</v>
      </c>
      <c r="B95" s="1044" t="s">
        <v>182</v>
      </c>
      <c r="C95" s="1044"/>
      <c r="D95" s="1044"/>
      <c r="E95" s="1044"/>
      <c r="F95" s="1044"/>
      <c r="G95" s="1044"/>
      <c r="H95" s="1044"/>
      <c r="I95" s="254">
        <v>2.0000000000000001E-4</v>
      </c>
      <c r="J95" s="246">
        <f t="shared" si="0"/>
        <v>0.46290819999999999</v>
      </c>
      <c r="K95" s="29"/>
      <c r="L95" s="33"/>
    </row>
    <row r="96" spans="1:12" s="17" customFormat="1" ht="12.75">
      <c r="A96" s="243" t="s">
        <v>10</v>
      </c>
      <c r="B96" s="1044" t="s">
        <v>183</v>
      </c>
      <c r="C96" s="1044"/>
      <c r="D96" s="1044"/>
      <c r="E96" s="1044"/>
      <c r="F96" s="1044"/>
      <c r="G96" s="1044"/>
      <c r="H96" s="1044"/>
      <c r="I96" s="254">
        <v>2.7000000000000001E-3</v>
      </c>
      <c r="J96" s="246">
        <f t="shared" si="0"/>
        <v>6.2492606999999998</v>
      </c>
      <c r="K96" s="29"/>
      <c r="L96" s="33"/>
    </row>
    <row r="97" spans="1:12" s="17" customFormat="1" ht="12.75">
      <c r="A97" s="243" t="s">
        <v>11</v>
      </c>
      <c r="B97" s="1044" t="s">
        <v>184</v>
      </c>
      <c r="C97" s="1044"/>
      <c r="D97" s="1044"/>
      <c r="E97" s="1044"/>
      <c r="F97" s="1044"/>
      <c r="G97" s="1044"/>
      <c r="H97" s="1044"/>
      <c r="I97" s="254">
        <v>0</v>
      </c>
      <c r="J97" s="246">
        <f t="shared" si="0"/>
        <v>0</v>
      </c>
      <c r="K97" s="29"/>
      <c r="L97" s="31"/>
    </row>
    <row r="98" spans="1:12" s="17" customFormat="1" ht="12.75">
      <c r="A98" s="243" t="s">
        <v>12</v>
      </c>
      <c r="B98" s="1027" t="s">
        <v>165</v>
      </c>
      <c r="C98" s="1027"/>
      <c r="D98" s="1027"/>
      <c r="E98" s="1027"/>
      <c r="F98" s="1027"/>
      <c r="G98" s="1027"/>
      <c r="H98" s="1027"/>
      <c r="I98" s="254">
        <v>0</v>
      </c>
      <c r="J98" s="246">
        <f t="shared" si="0"/>
        <v>0</v>
      </c>
      <c r="K98" s="29"/>
      <c r="L98" s="31"/>
    </row>
    <row r="99" spans="1:12" s="17" customFormat="1" ht="12.75">
      <c r="A99" s="243"/>
      <c r="B99" s="1085" t="s">
        <v>126</v>
      </c>
      <c r="C99" s="1085"/>
      <c r="D99" s="1085"/>
      <c r="E99" s="1085"/>
      <c r="F99" s="1085"/>
      <c r="G99" s="1085"/>
      <c r="H99" s="1085"/>
      <c r="I99" s="255">
        <f>SUM(I93:I98)</f>
        <v>2.4400000000000002E-2</v>
      </c>
      <c r="J99" s="246">
        <f>SUM(J93:J98)</f>
        <v>56.474800399999999</v>
      </c>
      <c r="K99" s="29"/>
      <c r="L99" s="31"/>
    </row>
    <row r="100" spans="1:12" s="17" customFormat="1" ht="13.5" customHeight="1">
      <c r="A100" s="410" t="s">
        <v>13</v>
      </c>
      <c r="B100" s="1258" t="s">
        <v>165</v>
      </c>
      <c r="C100" s="1258"/>
      <c r="D100" s="1258"/>
      <c r="E100" s="1258"/>
      <c r="F100" s="1258"/>
      <c r="G100" s="1258"/>
      <c r="H100" s="1258"/>
      <c r="I100" s="349"/>
      <c r="J100" s="350"/>
      <c r="K100" s="29"/>
      <c r="L100" s="31"/>
    </row>
    <row r="101" spans="1:12" s="17" customFormat="1" ht="12.75">
      <c r="A101" s="1065" t="s">
        <v>96</v>
      </c>
      <c r="B101" s="1065"/>
      <c r="C101" s="1065"/>
      <c r="D101" s="1065"/>
      <c r="E101" s="1065"/>
      <c r="F101" s="1065"/>
      <c r="G101" s="1065"/>
      <c r="H101" s="1065"/>
      <c r="I101" s="338">
        <f>I99+I100</f>
        <v>2.4400000000000002E-2</v>
      </c>
      <c r="J101" s="339">
        <f>J99+J100</f>
        <v>56.474800399999999</v>
      </c>
      <c r="K101" s="29"/>
    </row>
    <row r="102" spans="1:12" s="17" customFormat="1" ht="12.75">
      <c r="A102" s="1065" t="s">
        <v>17</v>
      </c>
      <c r="B102" s="1065"/>
      <c r="C102" s="1065"/>
      <c r="D102" s="1065"/>
      <c r="E102" s="1065"/>
      <c r="F102" s="1065"/>
      <c r="G102" s="1065"/>
      <c r="H102" s="1065"/>
      <c r="I102" s="1065"/>
      <c r="J102" s="339"/>
      <c r="K102" s="29"/>
    </row>
    <row r="103" spans="1:12" s="17" customFormat="1" ht="12.75">
      <c r="A103" s="1058"/>
      <c r="B103" s="1028"/>
      <c r="C103" s="1028"/>
      <c r="D103" s="1028"/>
      <c r="E103" s="1028"/>
      <c r="F103" s="1028"/>
      <c r="G103" s="1028"/>
      <c r="H103" s="1028"/>
      <c r="I103" s="1028"/>
      <c r="J103" s="1029"/>
      <c r="K103" s="29"/>
    </row>
    <row r="104" spans="1:12" s="17" customFormat="1" ht="12.75">
      <c r="A104" s="1065" t="s">
        <v>65</v>
      </c>
      <c r="B104" s="1065"/>
      <c r="C104" s="1065"/>
      <c r="D104" s="1065"/>
      <c r="E104" s="1065"/>
      <c r="F104" s="1065"/>
      <c r="G104" s="1065"/>
      <c r="H104" s="1065"/>
      <c r="I104" s="1065"/>
      <c r="J104" s="1065"/>
      <c r="K104" s="29"/>
    </row>
    <row r="105" spans="1:12" s="17" customFormat="1" ht="12.75">
      <c r="A105" s="1065" t="s">
        <v>66</v>
      </c>
      <c r="B105" s="1065"/>
      <c r="C105" s="1065"/>
      <c r="D105" s="1065"/>
      <c r="E105" s="1065"/>
      <c r="F105" s="1065"/>
      <c r="G105" s="1065"/>
      <c r="H105" s="1065"/>
      <c r="I105" s="1065"/>
      <c r="J105" s="395" t="s">
        <v>1</v>
      </c>
      <c r="K105" s="29"/>
    </row>
    <row r="106" spans="1:12" s="17" customFormat="1" ht="12.75">
      <c r="A106" s="399" t="s">
        <v>19</v>
      </c>
      <c r="B106" s="401" t="s">
        <v>64</v>
      </c>
      <c r="C106" s="401"/>
      <c r="D106" s="401"/>
      <c r="E106" s="401"/>
      <c r="F106" s="401"/>
      <c r="G106" s="401"/>
      <c r="H106" s="401"/>
      <c r="I106" s="401"/>
      <c r="J106" s="242">
        <f>J101</f>
        <v>56.474800399999999</v>
      </c>
      <c r="K106" s="29"/>
    </row>
    <row r="107" spans="1:12" s="17" customFormat="1" ht="12.75">
      <c r="A107" s="243" t="s">
        <v>20</v>
      </c>
      <c r="B107" s="1027" t="s">
        <v>67</v>
      </c>
      <c r="C107" s="1027"/>
      <c r="D107" s="1027"/>
      <c r="E107" s="1027"/>
      <c r="F107" s="1027"/>
      <c r="G107" s="1027"/>
      <c r="H107" s="1027"/>
      <c r="I107" s="1027"/>
      <c r="J107" s="253">
        <f>(J35+J36+J37)/180*1.5*15</f>
        <v>252.57387499999999</v>
      </c>
      <c r="K107" s="29">
        <v>21.6</v>
      </c>
    </row>
    <row r="108" spans="1:12" s="17" customFormat="1" ht="12.75">
      <c r="A108" s="1031" t="s">
        <v>68</v>
      </c>
      <c r="B108" s="1031"/>
      <c r="C108" s="1031"/>
      <c r="D108" s="1031"/>
      <c r="E108" s="1031"/>
      <c r="F108" s="1031"/>
      <c r="G108" s="1031"/>
      <c r="H108" s="1031"/>
      <c r="I108" s="1031"/>
      <c r="J108" s="249">
        <f>TRUNC(SUM(J106:J107),2)</f>
        <v>309.04000000000002</v>
      </c>
      <c r="K108" s="29"/>
    </row>
    <row r="109" spans="1:12" s="17" customFormat="1" ht="12.75">
      <c r="A109" s="1065" t="s">
        <v>99</v>
      </c>
      <c r="B109" s="1065"/>
      <c r="C109" s="1065"/>
      <c r="D109" s="1065"/>
      <c r="E109" s="1065"/>
      <c r="F109" s="1065"/>
      <c r="G109" s="1065"/>
      <c r="H109" s="1065"/>
      <c r="I109" s="336">
        <f>I101+I89+I63+I52</f>
        <v>0.65809920000000011</v>
      </c>
      <c r="J109" s="337">
        <f>J101+J89+J63+J52</f>
        <v>1630.20612247381</v>
      </c>
      <c r="K109" s="29"/>
    </row>
    <row r="110" spans="1:12" s="17" customFormat="1" ht="12.75">
      <c r="A110" s="1058"/>
      <c r="B110" s="1028"/>
      <c r="C110" s="1028"/>
      <c r="D110" s="1028"/>
      <c r="E110" s="1028"/>
      <c r="F110" s="1028"/>
      <c r="G110" s="1028"/>
      <c r="H110" s="1028"/>
      <c r="I110" s="1028"/>
      <c r="J110" s="1029"/>
      <c r="K110" s="29"/>
    </row>
    <row r="111" spans="1:12" s="17" customFormat="1" ht="12.75">
      <c r="A111" s="1065" t="s">
        <v>69</v>
      </c>
      <c r="B111" s="1065"/>
      <c r="C111" s="1065"/>
      <c r="D111" s="1065"/>
      <c r="E111" s="1065"/>
      <c r="F111" s="1065"/>
      <c r="G111" s="1065"/>
      <c r="H111" s="1065"/>
      <c r="I111" s="1065"/>
      <c r="J111" s="1065"/>
      <c r="K111" s="29"/>
    </row>
    <row r="112" spans="1:12" s="17" customFormat="1" ht="12.75">
      <c r="A112" s="399">
        <v>5</v>
      </c>
      <c r="B112" s="399"/>
      <c r="C112" s="1031" t="s">
        <v>16</v>
      </c>
      <c r="D112" s="1031"/>
      <c r="E112" s="1031"/>
      <c r="F112" s="1031"/>
      <c r="G112" s="1031"/>
      <c r="H112" s="1031"/>
      <c r="I112" s="399"/>
      <c r="J112" s="399" t="s">
        <v>1</v>
      </c>
      <c r="K112" s="29"/>
    </row>
    <row r="113" spans="1:18" s="17" customFormat="1" ht="12.75">
      <c r="A113" s="399" t="s">
        <v>7</v>
      </c>
      <c r="B113" s="401" t="s">
        <v>107</v>
      </c>
      <c r="C113" s="401"/>
      <c r="D113" s="401"/>
      <c r="E113" s="401"/>
      <c r="F113" s="401"/>
      <c r="G113" s="401"/>
      <c r="H113" s="401"/>
      <c r="I113" s="238" t="s">
        <v>0</v>
      </c>
      <c r="J113" s="242">
        <f>'EQUIP-MAT '!F22</f>
        <v>68.366666666666674</v>
      </c>
      <c r="K113" s="29"/>
    </row>
    <row r="114" spans="1:18" s="17" customFormat="1" ht="12.75">
      <c r="A114" s="399" t="s">
        <v>8</v>
      </c>
      <c r="B114" s="401" t="s">
        <v>191</v>
      </c>
      <c r="C114" s="401"/>
      <c r="D114" s="401"/>
      <c r="E114" s="401"/>
      <c r="F114" s="401"/>
      <c r="G114" s="401"/>
      <c r="H114" s="401"/>
      <c r="I114" s="238" t="s">
        <v>0</v>
      </c>
      <c r="J114" s="242">
        <f>'EQUIP-MAT '!F32</f>
        <v>20.833333333333336</v>
      </c>
      <c r="K114" s="29"/>
    </row>
    <row r="115" spans="1:18" s="17" customFormat="1" ht="12.75">
      <c r="A115" s="250" t="s">
        <v>9</v>
      </c>
      <c r="B115" s="1044" t="s">
        <v>192</v>
      </c>
      <c r="C115" s="1044"/>
      <c r="D115" s="1044"/>
      <c r="E115" s="1044"/>
      <c r="F115" s="1044"/>
      <c r="G115" s="1044"/>
      <c r="H115" s="1044"/>
      <c r="I115" s="238" t="s">
        <v>0</v>
      </c>
      <c r="J115" s="242">
        <v>0</v>
      </c>
      <c r="K115" s="29"/>
    </row>
    <row r="116" spans="1:18" s="17" customFormat="1" ht="12.75">
      <c r="A116" s="1031" t="s">
        <v>70</v>
      </c>
      <c r="B116" s="1031"/>
      <c r="C116" s="1031"/>
      <c r="D116" s="1031"/>
      <c r="E116" s="1031"/>
      <c r="F116" s="1031"/>
      <c r="G116" s="1031"/>
      <c r="H116" s="1031"/>
      <c r="I116" s="251" t="s">
        <v>0</v>
      </c>
      <c r="J116" s="252">
        <f>TRUNC(SUM(J113:J115),2)</f>
        <v>89.2</v>
      </c>
      <c r="K116" s="29"/>
    </row>
    <row r="117" spans="1:18" s="17" customFormat="1" ht="24" customHeight="1">
      <c r="A117" s="1065" t="s">
        <v>71</v>
      </c>
      <c r="B117" s="1065"/>
      <c r="C117" s="1065"/>
      <c r="D117" s="1065"/>
      <c r="E117" s="1065"/>
      <c r="F117" s="1065"/>
      <c r="G117" s="1065"/>
      <c r="H117" s="1065"/>
      <c r="I117" s="1065"/>
      <c r="J117" s="1065"/>
      <c r="K117" s="29"/>
    </row>
    <row r="118" spans="1:18" s="17" customFormat="1" ht="12.75">
      <c r="A118" s="399">
        <v>6</v>
      </c>
      <c r="B118" s="1085" t="s">
        <v>18</v>
      </c>
      <c r="C118" s="1085"/>
      <c r="D118" s="1085"/>
      <c r="E118" s="1085"/>
      <c r="F118" s="1085"/>
      <c r="G118" s="1085"/>
      <c r="H118" s="1085"/>
      <c r="I118" s="399" t="s">
        <v>3</v>
      </c>
      <c r="J118" s="399" t="s">
        <v>1</v>
      </c>
      <c r="K118" s="29"/>
    </row>
    <row r="119" spans="1:18" s="17" customFormat="1" ht="13.5" thickBot="1">
      <c r="A119" s="399" t="s">
        <v>7</v>
      </c>
      <c r="B119" s="1044" t="s">
        <v>21</v>
      </c>
      <c r="C119" s="1044"/>
      <c r="D119" s="1044"/>
      <c r="E119" s="1044"/>
      <c r="F119" s="1044"/>
      <c r="G119" s="1044"/>
      <c r="H119" s="1044"/>
      <c r="I119" s="352">
        <v>0.04</v>
      </c>
      <c r="J119" s="242">
        <f>TRUNC(I119*J144,2)</f>
        <v>190.91</v>
      </c>
      <c r="K119" s="29"/>
      <c r="Q119" s="16"/>
      <c r="R119" s="128"/>
    </row>
    <row r="120" spans="1:18" s="17" customFormat="1" ht="15.75" thickBot="1">
      <c r="A120" s="243" t="s">
        <v>8</v>
      </c>
      <c r="B120" s="1044" t="s">
        <v>4</v>
      </c>
      <c r="C120" s="1044"/>
      <c r="D120" s="1044"/>
      <c r="E120" s="1044"/>
      <c r="F120" s="1044"/>
      <c r="G120" s="1044"/>
      <c r="H120" s="1044"/>
      <c r="I120" s="352">
        <v>0.03</v>
      </c>
      <c r="J120" s="242">
        <f>TRUNC(I120*(J119+J144),2)</f>
        <v>148.91</v>
      </c>
      <c r="Q120" s="358">
        <f>Q151</f>
        <v>-813.45374931581864</v>
      </c>
    </row>
    <row r="121" spans="1:18" s="17" customFormat="1" ht="12.75">
      <c r="A121" s="335" t="s">
        <v>9</v>
      </c>
      <c r="B121" s="1253" t="s">
        <v>28</v>
      </c>
      <c r="C121" s="1253"/>
      <c r="D121" s="1253"/>
      <c r="E121" s="1253"/>
      <c r="F121" s="1253"/>
      <c r="G121" s="1253"/>
      <c r="H121" s="1253"/>
      <c r="I121" s="345"/>
      <c r="J121" s="346"/>
      <c r="K121" s="25"/>
    </row>
    <row r="122" spans="1:18" s="17" customFormat="1" ht="12.75">
      <c r="A122" s="243" t="s">
        <v>29</v>
      </c>
      <c r="B122" s="1044" t="s">
        <v>82</v>
      </c>
      <c r="C122" s="1044"/>
      <c r="D122" s="1044"/>
      <c r="E122" s="1044"/>
      <c r="F122" s="1044"/>
      <c r="G122" s="1044"/>
      <c r="H122" s="1044"/>
      <c r="I122" s="245">
        <v>6.4999999999999997E-3</v>
      </c>
      <c r="J122" s="246">
        <f>TRUNC(I122*J133,2)</f>
        <v>36.369999999999997</v>
      </c>
    </row>
    <row r="123" spans="1:18" s="17" customFormat="1" ht="12.75">
      <c r="A123" s="243" t="s">
        <v>29</v>
      </c>
      <c r="B123" s="1044" t="s">
        <v>77</v>
      </c>
      <c r="C123" s="1044"/>
      <c r="D123" s="1044"/>
      <c r="E123" s="1044"/>
      <c r="F123" s="1044"/>
      <c r="G123" s="1044"/>
      <c r="H123" s="1044"/>
      <c r="I123" s="245">
        <v>0.03</v>
      </c>
      <c r="J123" s="246">
        <f>TRUNC(I123*J133,2)</f>
        <v>167.9</v>
      </c>
      <c r="K123" s="25">
        <f>J151</f>
        <v>134321.44499178982</v>
      </c>
      <c r="L123" s="16" t="e">
        <f>[1]RESUMO!#REF!</f>
        <v>#REF!</v>
      </c>
    </row>
    <row r="124" spans="1:18" s="17" customFormat="1" ht="12.75">
      <c r="A124" s="243" t="s">
        <v>30</v>
      </c>
      <c r="B124" s="1044" t="s">
        <v>80</v>
      </c>
      <c r="C124" s="1044"/>
      <c r="D124" s="1044"/>
      <c r="E124" s="1044"/>
      <c r="F124" s="1044"/>
      <c r="G124" s="1044"/>
      <c r="H124" s="1044"/>
      <c r="I124" s="247" t="s">
        <v>79</v>
      </c>
      <c r="J124" s="246">
        <v>0</v>
      </c>
    </row>
    <row r="125" spans="1:18" s="17" customFormat="1" ht="12.75">
      <c r="A125" s="243" t="s">
        <v>31</v>
      </c>
      <c r="B125" s="1044" t="s">
        <v>78</v>
      </c>
      <c r="C125" s="1044"/>
      <c r="D125" s="1044"/>
      <c r="E125" s="1044"/>
      <c r="F125" s="1044"/>
      <c r="G125" s="1044"/>
      <c r="H125" s="1044"/>
      <c r="I125" s="245">
        <v>0.05</v>
      </c>
      <c r="J125" s="246">
        <f>TRUNC(I125*J133,2)</f>
        <v>279.83</v>
      </c>
    </row>
    <row r="126" spans="1:18" s="17" customFormat="1" ht="12.75">
      <c r="A126" s="1031" t="s">
        <v>72</v>
      </c>
      <c r="B126" s="1031"/>
      <c r="C126" s="1031"/>
      <c r="D126" s="1031"/>
      <c r="E126" s="1031"/>
      <c r="F126" s="1031"/>
      <c r="G126" s="1031"/>
      <c r="H126" s="1031"/>
      <c r="I126" s="248">
        <f>SUM(I119:I125)</f>
        <v>0.15650000000000003</v>
      </c>
      <c r="J126" s="249">
        <f>TRUNC(SUM(J119:J125),2)</f>
        <v>823.92</v>
      </c>
      <c r="R126" s="127"/>
    </row>
    <row r="127" spans="1:18" s="17" customFormat="1" ht="12.75">
      <c r="A127" s="291"/>
      <c r="B127" s="397"/>
      <c r="C127" s="1081"/>
      <c r="D127" s="1081"/>
      <c r="E127" s="1081"/>
      <c r="F127" s="1081"/>
      <c r="G127" s="1081"/>
      <c r="H127" s="1081"/>
      <c r="I127" s="1081"/>
      <c r="J127" s="1082"/>
    </row>
    <row r="128" spans="1:18" s="17" customFormat="1" ht="12.75">
      <c r="A128" s="300" t="s">
        <v>32</v>
      </c>
      <c r="B128" s="301"/>
      <c r="C128" s="1246" t="s">
        <v>33</v>
      </c>
      <c r="D128" s="1246"/>
      <c r="E128" s="1246"/>
      <c r="F128" s="1246"/>
      <c r="G128" s="1246"/>
      <c r="H128" s="1247"/>
      <c r="I128" s="1248">
        <f>TRUNC(I122+I123+I125,4)</f>
        <v>8.6499999999999994E-2</v>
      </c>
      <c r="J128" s="1249"/>
    </row>
    <row r="129" spans="1:12" s="17" customFormat="1" ht="12.75">
      <c r="A129" s="233"/>
      <c r="B129" s="302"/>
      <c r="C129" s="1252">
        <v>100</v>
      </c>
      <c r="D129" s="1244"/>
      <c r="E129" s="1244"/>
      <c r="F129" s="1244"/>
      <c r="G129" s="1244"/>
      <c r="H129" s="1245"/>
      <c r="I129" s="1250"/>
      <c r="J129" s="1251"/>
      <c r="L129" s="21"/>
    </row>
    <row r="130" spans="1:12" s="17" customFormat="1" ht="12.75">
      <c r="A130" s="311"/>
      <c r="B130" s="310"/>
      <c r="C130" s="406"/>
      <c r="D130" s="406"/>
      <c r="E130" s="406"/>
      <c r="F130" s="406"/>
      <c r="G130" s="406"/>
      <c r="H130" s="407"/>
      <c r="I130" s="408"/>
      <c r="J130" s="304"/>
    </row>
    <row r="131" spans="1:12" s="17" customFormat="1" ht="12.75">
      <c r="A131" s="233" t="s">
        <v>34</v>
      </c>
      <c r="B131" s="302"/>
      <c r="C131" s="1244" t="s">
        <v>73</v>
      </c>
      <c r="D131" s="1244"/>
      <c r="E131" s="1244"/>
      <c r="F131" s="1244"/>
      <c r="G131" s="1244"/>
      <c r="H131" s="1245"/>
      <c r="I131" s="409"/>
      <c r="J131" s="306">
        <f>TRUNC(J144+J119+J120,2)</f>
        <v>5112.6099999999997</v>
      </c>
      <c r="L131" s="34"/>
    </row>
    <row r="132" spans="1:12" s="17" customFormat="1" ht="12.75">
      <c r="A132" s="300"/>
      <c r="B132" s="301"/>
      <c r="C132" s="406"/>
      <c r="D132" s="406"/>
      <c r="E132" s="406"/>
      <c r="F132" s="406"/>
      <c r="G132" s="406"/>
      <c r="H132" s="407"/>
      <c r="I132" s="408"/>
      <c r="J132" s="307"/>
    </row>
    <row r="133" spans="1:12" s="17" customFormat="1" ht="12.75">
      <c r="A133" s="233" t="s">
        <v>35</v>
      </c>
      <c r="B133" s="302"/>
      <c r="C133" s="1244" t="s">
        <v>36</v>
      </c>
      <c r="D133" s="1244"/>
      <c r="E133" s="1244"/>
      <c r="F133" s="1244"/>
      <c r="G133" s="1244"/>
      <c r="H133" s="1245"/>
      <c r="I133" s="409"/>
      <c r="J133" s="306">
        <f>J131/(1-I128)</f>
        <v>5596.7268746579093</v>
      </c>
    </row>
    <row r="134" spans="1:12" s="17" customFormat="1" ht="12.75">
      <c r="A134" s="403"/>
      <c r="B134" s="301"/>
      <c r="C134" s="406"/>
      <c r="D134" s="406"/>
      <c r="E134" s="406"/>
      <c r="F134" s="406"/>
      <c r="G134" s="406"/>
      <c r="H134" s="407"/>
      <c r="I134" s="408"/>
      <c r="J134" s="307"/>
    </row>
    <row r="135" spans="1:12" s="17" customFormat="1" ht="12.75">
      <c r="A135" s="291"/>
      <c r="B135" s="302"/>
      <c r="C135" s="1244" t="s">
        <v>37</v>
      </c>
      <c r="D135" s="1244"/>
      <c r="E135" s="1244"/>
      <c r="F135" s="1244"/>
      <c r="G135" s="1244"/>
      <c r="H135" s="1245"/>
      <c r="I135" s="409"/>
      <c r="J135" s="306">
        <f>TRUNC(J133-J131,2)</f>
        <v>484.11</v>
      </c>
      <c r="L135" s="34"/>
    </row>
    <row r="136" spans="1:12" s="17" customFormat="1" ht="12.75">
      <c r="A136" s="291"/>
      <c r="B136" s="397"/>
      <c r="C136" s="397"/>
      <c r="D136" s="397"/>
      <c r="E136" s="397"/>
      <c r="F136" s="397"/>
      <c r="G136" s="397"/>
      <c r="H136" s="397"/>
      <c r="I136" s="397"/>
      <c r="J136" s="295"/>
      <c r="L136" s="34"/>
    </row>
    <row r="137" spans="1:12" s="17" customFormat="1" ht="12.75">
      <c r="A137" s="1065" t="s">
        <v>83</v>
      </c>
      <c r="B137" s="1065"/>
      <c r="C137" s="1065"/>
      <c r="D137" s="1065"/>
      <c r="E137" s="1065"/>
      <c r="F137" s="1065"/>
      <c r="G137" s="1065"/>
      <c r="H137" s="1065"/>
      <c r="I137" s="1065"/>
      <c r="J137" s="1065"/>
    </row>
    <row r="138" spans="1:12" s="17" customFormat="1" ht="12.75">
      <c r="A138" s="1031" t="s">
        <v>22</v>
      </c>
      <c r="B138" s="1031"/>
      <c r="C138" s="1031"/>
      <c r="D138" s="1031"/>
      <c r="E138" s="1031"/>
      <c r="F138" s="1031"/>
      <c r="G138" s="1031"/>
      <c r="H138" s="1031"/>
      <c r="I138" s="1031"/>
      <c r="J138" s="399" t="s">
        <v>1</v>
      </c>
      <c r="L138" s="21"/>
    </row>
    <row r="139" spans="1:12" s="17" customFormat="1" ht="12.75">
      <c r="A139" s="238" t="s">
        <v>7</v>
      </c>
      <c r="B139" s="1044" t="str">
        <f>A33</f>
        <v>MÓDULO 1 - COMPOSIÇÃO DA REMUNERAÇÃO</v>
      </c>
      <c r="C139" s="1044"/>
      <c r="D139" s="1044"/>
      <c r="E139" s="1044"/>
      <c r="F139" s="1044"/>
      <c r="G139" s="1044"/>
      <c r="H139" s="1044"/>
      <c r="I139" s="1044"/>
      <c r="J139" s="239">
        <f>J44</f>
        <v>2314.5409999999997</v>
      </c>
    </row>
    <row r="140" spans="1:12" s="17" customFormat="1" ht="12.75">
      <c r="A140" s="240" t="s">
        <v>8</v>
      </c>
      <c r="B140" s="1044" t="str">
        <f>A47</f>
        <v>MÓDULO 2 – ENCARGOS E BENEFÍCIOS ANUAIS, MENSAIS E DIÁRIOS</v>
      </c>
      <c r="C140" s="1044"/>
      <c r="D140" s="1044"/>
      <c r="E140" s="1044"/>
      <c r="F140" s="1044"/>
      <c r="G140" s="1044"/>
      <c r="H140" s="1044"/>
      <c r="I140" s="1044"/>
      <c r="J140" s="241">
        <f>J80</f>
        <v>1894.76</v>
      </c>
    </row>
    <row r="141" spans="1:12" s="17" customFormat="1" ht="12.75">
      <c r="A141" s="240" t="s">
        <v>9</v>
      </c>
      <c r="B141" s="1044" t="str">
        <f>A81</f>
        <v>MÓDULO 3 – PROVISÃO PARA RESCISÃO</v>
      </c>
      <c r="C141" s="1044"/>
      <c r="D141" s="1044"/>
      <c r="E141" s="1044"/>
      <c r="F141" s="1044"/>
      <c r="G141" s="1044"/>
      <c r="H141" s="1044"/>
      <c r="I141" s="1044"/>
      <c r="J141" s="241">
        <f>J89</f>
        <v>165.25</v>
      </c>
    </row>
    <row r="142" spans="1:12" s="17" customFormat="1" ht="12.75">
      <c r="A142" s="238" t="s">
        <v>10</v>
      </c>
      <c r="B142" s="1044" t="str">
        <f>A91</f>
        <v>MÓDULO 4 – CUSTO DE REPOSIÇÃO DO PROFISSIONAL AUSENTE</v>
      </c>
      <c r="C142" s="1044"/>
      <c r="D142" s="1044"/>
      <c r="E142" s="1044"/>
      <c r="F142" s="1044"/>
      <c r="G142" s="1044"/>
      <c r="H142" s="1044"/>
      <c r="I142" s="1044"/>
      <c r="J142" s="241">
        <f>J108</f>
        <v>309.04000000000002</v>
      </c>
    </row>
    <row r="143" spans="1:12" s="17" customFormat="1" ht="12.75">
      <c r="A143" s="240" t="s">
        <v>11</v>
      </c>
      <c r="B143" s="1044" t="str">
        <f>A111</f>
        <v>MÓDULO 5 – INSUMOS DIVERSOS</v>
      </c>
      <c r="C143" s="1044"/>
      <c r="D143" s="1044"/>
      <c r="E143" s="1044"/>
      <c r="F143" s="1044"/>
      <c r="G143" s="1044"/>
      <c r="H143" s="1044"/>
      <c r="I143" s="1044"/>
      <c r="J143" s="241">
        <f>J116</f>
        <v>89.2</v>
      </c>
    </row>
    <row r="144" spans="1:12" s="17" customFormat="1" ht="12.75">
      <c r="A144" s="1065" t="s">
        <v>74</v>
      </c>
      <c r="B144" s="1065"/>
      <c r="C144" s="1065"/>
      <c r="D144" s="1065"/>
      <c r="E144" s="1065"/>
      <c r="F144" s="1065"/>
      <c r="G144" s="1065"/>
      <c r="H144" s="1065"/>
      <c r="I144" s="1065"/>
      <c r="J144" s="348">
        <f>TRUNC(SUM(J139:J143),2)</f>
        <v>4772.79</v>
      </c>
    </row>
    <row r="145" spans="1:17" s="17" customFormat="1" ht="12.75">
      <c r="A145" s="238" t="s">
        <v>13</v>
      </c>
      <c r="B145" s="1044" t="str">
        <f>A117</f>
        <v>MÓDULO 6 – CUSTOS INDIRETOS, TRIBUTOS E LUCRO</v>
      </c>
      <c r="C145" s="1044"/>
      <c r="D145" s="1044"/>
      <c r="E145" s="1044"/>
      <c r="F145" s="1044"/>
      <c r="G145" s="1044"/>
      <c r="H145" s="1044"/>
      <c r="I145" s="1044"/>
      <c r="J145" s="239">
        <f>J126</f>
        <v>823.92</v>
      </c>
    </row>
    <row r="146" spans="1:17" s="17" customFormat="1" ht="12.75">
      <c r="A146" s="1064" t="s">
        <v>75</v>
      </c>
      <c r="B146" s="1064"/>
      <c r="C146" s="1064"/>
      <c r="D146" s="1064"/>
      <c r="E146" s="1064"/>
      <c r="F146" s="1064"/>
      <c r="G146" s="1064"/>
      <c r="H146" s="1064"/>
      <c r="I146" s="1064"/>
      <c r="J146" s="347">
        <f>(J144+J120+J119)/0.9135</f>
        <v>5596.7268746579093</v>
      </c>
      <c r="K146" s="16"/>
      <c r="L146" s="34">
        <v>4822.8100000000004</v>
      </c>
    </row>
    <row r="147" spans="1:17" s="17" customFormat="1" ht="13.5" thickBot="1">
      <c r="A147" s="1064" t="s">
        <v>100</v>
      </c>
      <c r="B147" s="1064"/>
      <c r="C147" s="1064"/>
      <c r="D147" s="1064"/>
      <c r="E147" s="1064"/>
      <c r="F147" s="1064"/>
      <c r="G147" s="1064"/>
      <c r="H147" s="1064"/>
      <c r="I147" s="1064"/>
      <c r="J147" s="347">
        <v>2</v>
      </c>
      <c r="L147" s="36">
        <v>7</v>
      </c>
    </row>
    <row r="148" spans="1:17" s="17" customFormat="1" ht="12.75">
      <c r="A148" s="1064" t="s">
        <v>143</v>
      </c>
      <c r="B148" s="1064"/>
      <c r="C148" s="1064"/>
      <c r="D148" s="1064"/>
      <c r="E148" s="1064"/>
      <c r="F148" s="1064"/>
      <c r="G148" s="1064"/>
      <c r="H148" s="1064"/>
      <c r="I148" s="1064"/>
      <c r="J148" s="347">
        <f>J146*J147</f>
        <v>11193.453749315819</v>
      </c>
      <c r="L148" s="34">
        <f>L146*L147</f>
        <v>33759.670000000006</v>
      </c>
      <c r="Q148" s="353" t="s">
        <v>244</v>
      </c>
    </row>
    <row r="149" spans="1:17" s="17" customFormat="1" ht="12.75">
      <c r="A149" s="1064" t="s">
        <v>122</v>
      </c>
      <c r="B149" s="1064"/>
      <c r="C149" s="1064"/>
      <c r="D149" s="1064"/>
      <c r="E149" s="1064"/>
      <c r="F149" s="1064"/>
      <c r="G149" s="1064"/>
      <c r="H149" s="1064"/>
      <c r="I149" s="1064"/>
      <c r="J149" s="347">
        <v>1</v>
      </c>
      <c r="L149" s="34"/>
      <c r="Q149" s="354">
        <v>10380</v>
      </c>
    </row>
    <row r="150" spans="1:17" s="17" customFormat="1" ht="12.75">
      <c r="A150" s="1064" t="s">
        <v>144</v>
      </c>
      <c r="B150" s="1064"/>
      <c r="C150" s="1064"/>
      <c r="D150" s="1064"/>
      <c r="E150" s="1064"/>
      <c r="F150" s="1064"/>
      <c r="G150" s="1064"/>
      <c r="H150" s="1064"/>
      <c r="I150" s="1064"/>
      <c r="J150" s="347">
        <f>J148*J149</f>
        <v>11193.453749315819</v>
      </c>
      <c r="L150" s="34"/>
      <c r="Q150" s="354">
        <f>J148</f>
        <v>11193.453749315819</v>
      </c>
    </row>
    <row r="151" spans="1:17" s="17" customFormat="1" ht="12.75">
      <c r="A151" s="1064" t="s">
        <v>145</v>
      </c>
      <c r="B151" s="1064"/>
      <c r="C151" s="1064"/>
      <c r="D151" s="1064"/>
      <c r="E151" s="1064"/>
      <c r="F151" s="1064"/>
      <c r="G151" s="1064"/>
      <c r="H151" s="1064"/>
      <c r="I151" s="1064"/>
      <c r="J151" s="347">
        <f>J150*12</f>
        <v>134321.44499178982</v>
      </c>
      <c r="L151" s="34">
        <f>L148*12</f>
        <v>405116.04000000004</v>
      </c>
      <c r="Q151" s="354">
        <f>Q149-Q150</f>
        <v>-813.45374931581864</v>
      </c>
    </row>
    <row r="152" spans="1:17" s="17" customFormat="1" ht="12.75">
      <c r="A152" s="291"/>
      <c r="B152" s="234"/>
      <c r="C152" s="234"/>
      <c r="D152" s="234"/>
      <c r="E152" s="234"/>
      <c r="F152" s="234"/>
      <c r="G152" s="234"/>
      <c r="H152" s="234"/>
      <c r="I152" s="234"/>
      <c r="J152" s="296"/>
      <c r="Q152" s="25"/>
    </row>
    <row r="153" spans="1:17" s="17" customFormat="1" ht="15" customHeight="1">
      <c r="A153" s="1052"/>
      <c r="B153" s="1053"/>
      <c r="C153" s="1053"/>
      <c r="D153" s="1053"/>
      <c r="E153" s="1053"/>
      <c r="F153" s="1053"/>
      <c r="G153" s="1053"/>
      <c r="H153" s="1053"/>
      <c r="I153" s="1053"/>
      <c r="J153" s="1054"/>
      <c r="K153" s="25" t="e">
        <f>J148+#REF!</f>
        <v>#REF!</v>
      </c>
    </row>
    <row r="154" spans="1:17" s="17" customFormat="1" ht="12.75">
      <c r="A154" s="1052"/>
      <c r="B154" s="1053"/>
      <c r="C154" s="1053"/>
      <c r="D154" s="1053"/>
      <c r="E154" s="1053"/>
      <c r="F154" s="1053"/>
      <c r="G154" s="1053"/>
      <c r="H154" s="1053"/>
      <c r="I154" s="1053"/>
      <c r="J154" s="1054"/>
    </row>
    <row r="155" spans="1:17" s="17" customFormat="1" ht="35.25" customHeight="1">
      <c r="A155" s="297"/>
      <c r="B155" s="298"/>
      <c r="C155" s="298"/>
      <c r="D155" s="298"/>
      <c r="E155" s="298"/>
      <c r="F155" s="298"/>
      <c r="G155" s="298"/>
      <c r="H155" s="298"/>
      <c r="I155" s="298"/>
      <c r="J155" s="299"/>
    </row>
  </sheetData>
  <mergeCells count="149">
    <mergeCell ref="A153:J153"/>
    <mergeCell ref="A154:J154"/>
    <mergeCell ref="A146:I146"/>
    <mergeCell ref="A147:I147"/>
    <mergeCell ref="A148:I148"/>
    <mergeCell ref="A149:I149"/>
    <mergeCell ref="A150:I150"/>
    <mergeCell ref="A151:I151"/>
    <mergeCell ref="B140:I140"/>
    <mergeCell ref="B141:I141"/>
    <mergeCell ref="B142:I142"/>
    <mergeCell ref="B143:I143"/>
    <mergeCell ref="A144:I144"/>
    <mergeCell ref="B145:I145"/>
    <mergeCell ref="C131:H131"/>
    <mergeCell ref="C133:H133"/>
    <mergeCell ref="C135:H135"/>
    <mergeCell ref="A137:J137"/>
    <mergeCell ref="A138:I138"/>
    <mergeCell ref="B139:I139"/>
    <mergeCell ref="B125:H125"/>
    <mergeCell ref="A126:H126"/>
    <mergeCell ref="C127:J127"/>
    <mergeCell ref="C128:H128"/>
    <mergeCell ref="I128:J129"/>
    <mergeCell ref="C129:H129"/>
    <mergeCell ref="B119:H119"/>
    <mergeCell ref="B120:H120"/>
    <mergeCell ref="B121:H121"/>
    <mergeCell ref="B122:H122"/>
    <mergeCell ref="B123:H123"/>
    <mergeCell ref="B124:H124"/>
    <mergeCell ref="A111:J111"/>
    <mergeCell ref="C112:H112"/>
    <mergeCell ref="B115:H115"/>
    <mergeCell ref="A116:H116"/>
    <mergeCell ref="A117:J117"/>
    <mergeCell ref="B118:H118"/>
    <mergeCell ref="A104:J104"/>
    <mergeCell ref="A105:I105"/>
    <mergeCell ref="B107:I107"/>
    <mergeCell ref="A108:I108"/>
    <mergeCell ref="A109:H109"/>
    <mergeCell ref="A110:J110"/>
    <mergeCell ref="B98:H98"/>
    <mergeCell ref="B99:H99"/>
    <mergeCell ref="B100:H100"/>
    <mergeCell ref="A101:H101"/>
    <mergeCell ref="A102:I102"/>
    <mergeCell ref="A103:J103"/>
    <mergeCell ref="A92:H92"/>
    <mergeCell ref="B93:H93"/>
    <mergeCell ref="B94:H94"/>
    <mergeCell ref="B95:H95"/>
    <mergeCell ref="B96:H96"/>
    <mergeCell ref="B97:H97"/>
    <mergeCell ref="B86:H86"/>
    <mergeCell ref="B87:H87"/>
    <mergeCell ref="B88:H88"/>
    <mergeCell ref="A89:H89"/>
    <mergeCell ref="B90:J90"/>
    <mergeCell ref="A91:J91"/>
    <mergeCell ref="B80:I80"/>
    <mergeCell ref="A81:J81"/>
    <mergeCell ref="B82:H82"/>
    <mergeCell ref="B83:H83"/>
    <mergeCell ref="B84:H84"/>
    <mergeCell ref="B85:H85"/>
    <mergeCell ref="B74:J74"/>
    <mergeCell ref="A75:J75"/>
    <mergeCell ref="A76:I76"/>
    <mergeCell ref="B77:I77"/>
    <mergeCell ref="B78:I78"/>
    <mergeCell ref="B79:I79"/>
    <mergeCell ref="B68:H68"/>
    <mergeCell ref="B69:H69"/>
    <mergeCell ref="B70:H70"/>
    <mergeCell ref="B71:H71"/>
    <mergeCell ref="B72:H72"/>
    <mergeCell ref="A73:I73"/>
    <mergeCell ref="A63:H63"/>
    <mergeCell ref="B64:J64"/>
    <mergeCell ref="A65:H65"/>
    <mergeCell ref="I65:J65"/>
    <mergeCell ref="A66:A67"/>
    <mergeCell ref="B66:D67"/>
    <mergeCell ref="I66:I67"/>
    <mergeCell ref="J66:J67"/>
    <mergeCell ref="B57:H57"/>
    <mergeCell ref="B58:H58"/>
    <mergeCell ref="B59:H59"/>
    <mergeCell ref="B60:H60"/>
    <mergeCell ref="B61:H61"/>
    <mergeCell ref="B62:H62"/>
    <mergeCell ref="B51:H51"/>
    <mergeCell ref="A52:H52"/>
    <mergeCell ref="A53:J53"/>
    <mergeCell ref="A54:H54"/>
    <mergeCell ref="B55:H55"/>
    <mergeCell ref="B56:H56"/>
    <mergeCell ref="A43:I43"/>
    <mergeCell ref="A44:I44"/>
    <mergeCell ref="A47:J47"/>
    <mergeCell ref="A48:H48"/>
    <mergeCell ref="B49:H49"/>
    <mergeCell ref="B50:H50"/>
    <mergeCell ref="B37:H37"/>
    <mergeCell ref="B38:H38"/>
    <mergeCell ref="C39:H39"/>
    <mergeCell ref="C40:H40"/>
    <mergeCell ref="C41:H41"/>
    <mergeCell ref="B42:H42"/>
    <mergeCell ref="B31:I31"/>
    <mergeCell ref="B32:J32"/>
    <mergeCell ref="A33:J33"/>
    <mergeCell ref="B34:H34"/>
    <mergeCell ref="B35:H35"/>
    <mergeCell ref="B36:H36"/>
    <mergeCell ref="A24:J24"/>
    <mergeCell ref="A26:J26"/>
    <mergeCell ref="B27:I27"/>
    <mergeCell ref="B28:I28"/>
    <mergeCell ref="B29:I29"/>
    <mergeCell ref="B30:I30"/>
    <mergeCell ref="B17:F17"/>
    <mergeCell ref="G17:J17"/>
    <mergeCell ref="A19:J19"/>
    <mergeCell ref="A21:F21"/>
    <mergeCell ref="H21:J21"/>
    <mergeCell ref="A22:F22"/>
    <mergeCell ref="H22:J22"/>
    <mergeCell ref="B14:F14"/>
    <mergeCell ref="G14:J14"/>
    <mergeCell ref="B15:F15"/>
    <mergeCell ref="G15:J15"/>
    <mergeCell ref="B16:F16"/>
    <mergeCell ref="G16:J16"/>
    <mergeCell ref="B9:F9"/>
    <mergeCell ref="G9:J9"/>
    <mergeCell ref="G10:J10"/>
    <mergeCell ref="G11:J11"/>
    <mergeCell ref="A12:J12"/>
    <mergeCell ref="A13:J13"/>
    <mergeCell ref="A2:J2"/>
    <mergeCell ref="A4:J4"/>
    <mergeCell ref="A5:H5"/>
    <mergeCell ref="A6:J6"/>
    <mergeCell ref="A7:J7"/>
    <mergeCell ref="G8:J8"/>
  </mergeCells>
  <printOptions horizontalCentered="1" verticalCentered="1"/>
  <pageMargins left="0.51181102362204722" right="0.51181102362204722" top="1.1023622047244095" bottom="0.78740157480314965" header="0.31496062992125984" footer="0.31496062992125984"/>
  <pageSetup paperSize="9" scale="64" orientation="portrait" r:id="rId1"/>
  <headerFooter>
    <oddHeader>&amp;L&amp;G&amp;R&amp;G</oddHeader>
    <oddFooter xml:space="preserve">&amp;R
</oddFooter>
  </headerFooter>
  <rowBreaks count="1" manualBreakCount="1">
    <brk id="74" max="9" man="1"/>
  </row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P145"/>
  <sheetViews>
    <sheetView view="pageBreakPreview" zoomScale="55" zoomScaleNormal="100" zoomScaleSheetLayoutView="55" workbookViewId="0">
      <selection activeCell="D25" sqref="D25"/>
    </sheetView>
  </sheetViews>
  <sheetFormatPr defaultRowHeight="15"/>
  <cols>
    <col min="1" max="1" width="0.42578125" style="4" customWidth="1"/>
    <col min="2" max="2" width="53.7109375" style="503" customWidth="1"/>
    <col min="3" max="3" width="9.28515625" style="504" bestFit="1" customWidth="1"/>
    <col min="4" max="4" width="18" style="504" bestFit="1" customWidth="1"/>
    <col min="5" max="5" width="19.140625" style="504" customWidth="1"/>
    <col min="6" max="6" width="18.5703125" style="504" customWidth="1"/>
    <col min="7" max="7" width="15.85546875" style="4" bestFit="1" customWidth="1"/>
    <col min="8" max="8" width="3" style="3" bestFit="1" customWidth="1"/>
    <col min="9" max="9" width="18.5703125" style="4" customWidth="1"/>
    <col min="10" max="10" width="11.5703125" style="4" bestFit="1" customWidth="1"/>
    <col min="11" max="11" width="13.28515625" style="4" bestFit="1" customWidth="1"/>
    <col min="12" max="12" width="9.140625" style="4"/>
    <col min="13" max="13" width="10.5703125" style="4" bestFit="1" customWidth="1"/>
    <col min="14" max="14" width="9.140625" style="4"/>
    <col min="15" max="15" width="11.5703125" style="4" bestFit="1" customWidth="1"/>
    <col min="16" max="16" width="13.28515625" style="4" bestFit="1" customWidth="1"/>
    <col min="17" max="16384" width="9.140625" style="4"/>
  </cols>
  <sheetData>
    <row r="1" spans="1:11" ht="0.75" customHeight="1">
      <c r="A1" s="122"/>
    </row>
    <row r="2" spans="1:11" ht="29.25" customHeight="1" thickBot="1">
      <c r="A2" s="123"/>
      <c r="B2" s="1264" t="s">
        <v>287</v>
      </c>
      <c r="C2" s="1264"/>
      <c r="D2" s="1264"/>
      <c r="E2" s="1264"/>
      <c r="F2" s="1264"/>
      <c r="G2" s="330"/>
      <c r="H2" s="351"/>
      <c r="I2" s="318"/>
      <c r="J2" s="318"/>
      <c r="K2" s="318"/>
    </row>
    <row r="3" spans="1:11" ht="15.75" customHeight="1" thickTop="1">
      <c r="B3" s="505"/>
      <c r="C3" s="506"/>
      <c r="D3" s="506"/>
      <c r="E3" s="506"/>
      <c r="F3" s="507"/>
    </row>
    <row r="4" spans="1:11" ht="15.75" customHeight="1">
      <c r="B4" s="1260" t="s">
        <v>139</v>
      </c>
      <c r="C4" s="1261"/>
      <c r="D4" s="1261"/>
      <c r="E4" s="1261"/>
      <c r="F4" s="1262"/>
    </row>
    <row r="5" spans="1:11">
      <c r="B5" s="1263"/>
      <c r="C5" s="1263"/>
      <c r="D5" s="1263"/>
      <c r="E5" s="1263"/>
      <c r="F5" s="1263"/>
    </row>
    <row r="6" spans="1:11">
      <c r="B6" s="331"/>
      <c r="C6" s="508"/>
      <c r="D6" s="509"/>
      <c r="E6" s="508"/>
      <c r="F6" s="332"/>
    </row>
    <row r="7" spans="1:11" s="1" customFormat="1">
      <c r="B7" s="986" t="s">
        <v>187</v>
      </c>
      <c r="C7" s="986"/>
      <c r="D7" s="986"/>
      <c r="E7" s="986"/>
      <c r="F7" s="986"/>
      <c r="H7" s="356">
        <v>1</v>
      </c>
      <c r="I7" s="355" t="e">
        <f>#REF!</f>
        <v>#REF!</v>
      </c>
    </row>
    <row r="8" spans="1:11" s="1" customFormat="1">
      <c r="B8" s="319" t="s">
        <v>114</v>
      </c>
      <c r="C8" s="320" t="s">
        <v>115</v>
      </c>
      <c r="D8" s="320" t="s">
        <v>116</v>
      </c>
      <c r="E8" s="320" t="s">
        <v>117</v>
      </c>
      <c r="F8" s="320" t="s">
        <v>97</v>
      </c>
      <c r="H8" s="356">
        <v>2</v>
      </c>
      <c r="I8" s="355">
        <f>KKKK!Q149</f>
        <v>-83.549534756431967</v>
      </c>
    </row>
    <row r="9" spans="1:11">
      <c r="B9" s="321" t="s">
        <v>118</v>
      </c>
      <c r="C9" s="322">
        <v>1</v>
      </c>
      <c r="D9" s="510">
        <v>47.34</v>
      </c>
      <c r="E9" s="322">
        <v>6</v>
      </c>
      <c r="F9" s="510">
        <f>(C9*D9)/E9</f>
        <v>7.8900000000000006</v>
      </c>
      <c r="H9" s="356">
        <v>3</v>
      </c>
      <c r="I9" s="355" t="e">
        <f>#REF!</f>
        <v>#REF!</v>
      </c>
    </row>
    <row r="10" spans="1:11">
      <c r="B10" s="321" t="s">
        <v>162</v>
      </c>
      <c r="C10" s="322">
        <v>2</v>
      </c>
      <c r="D10" s="510">
        <v>50</v>
      </c>
      <c r="E10" s="322">
        <v>6</v>
      </c>
      <c r="F10" s="510">
        <f>(C10*D10)/E10</f>
        <v>16.666666666666668</v>
      </c>
      <c r="H10" s="356">
        <v>4</v>
      </c>
      <c r="I10" s="355" t="e">
        <f>#REF!</f>
        <v>#REF!</v>
      </c>
    </row>
    <row r="11" spans="1:11">
      <c r="B11" s="321" t="s">
        <v>185</v>
      </c>
      <c r="C11" s="322">
        <v>1</v>
      </c>
      <c r="D11" s="510">
        <v>150</v>
      </c>
      <c r="E11" s="322">
        <v>6</v>
      </c>
      <c r="F11" s="510">
        <f>D11/E11</f>
        <v>25</v>
      </c>
      <c r="H11" s="1265">
        <v>5</v>
      </c>
      <c r="I11" s="1267" t="e">
        <f>#REF!</f>
        <v>#REF!</v>
      </c>
    </row>
    <row r="12" spans="1:11">
      <c r="B12" s="321" t="s">
        <v>186</v>
      </c>
      <c r="C12" s="322">
        <v>1</v>
      </c>
      <c r="D12" s="510">
        <v>4.72</v>
      </c>
      <c r="E12" s="322">
        <v>12</v>
      </c>
      <c r="F12" s="510">
        <f>D12/E12</f>
        <v>0.39333333333333331</v>
      </c>
      <c r="H12" s="1266"/>
      <c r="I12" s="1268"/>
    </row>
    <row r="13" spans="1:11">
      <c r="B13" s="321" t="s">
        <v>119</v>
      </c>
      <c r="C13" s="322">
        <v>1</v>
      </c>
      <c r="D13" s="510">
        <v>10</v>
      </c>
      <c r="E13" s="322">
        <v>12</v>
      </c>
      <c r="F13" s="510">
        <f t="shared" ref="F13:F14" si="0">(C13*D13)/E13</f>
        <v>0.83333333333333337</v>
      </c>
      <c r="H13" s="1265">
        <v>6</v>
      </c>
      <c r="I13" s="1267" t="e">
        <f>#REF!</f>
        <v>#REF!</v>
      </c>
    </row>
    <row r="14" spans="1:11">
      <c r="B14" s="321" t="s">
        <v>124</v>
      </c>
      <c r="C14" s="322">
        <v>1</v>
      </c>
      <c r="D14" s="510">
        <v>50</v>
      </c>
      <c r="E14" s="322">
        <v>6</v>
      </c>
      <c r="F14" s="510">
        <f t="shared" si="0"/>
        <v>8.3333333333333339</v>
      </c>
      <c r="H14" s="1266"/>
      <c r="I14" s="1268"/>
    </row>
    <row r="15" spans="1:11">
      <c r="B15" s="321" t="s">
        <v>148</v>
      </c>
      <c r="C15" s="322">
        <v>2</v>
      </c>
      <c r="D15" s="510">
        <v>8</v>
      </c>
      <c r="E15" s="322">
        <v>6</v>
      </c>
      <c r="F15" s="510">
        <f>(C15*D15)/E15</f>
        <v>2.6666666666666665</v>
      </c>
      <c r="H15" s="1265">
        <v>7</v>
      </c>
      <c r="I15" s="1267" t="e">
        <f>#REF!</f>
        <v>#REF!</v>
      </c>
    </row>
    <row r="16" spans="1:11">
      <c r="B16" s="321" t="s">
        <v>206</v>
      </c>
      <c r="C16" s="322">
        <v>1</v>
      </c>
      <c r="D16" s="510">
        <v>5</v>
      </c>
      <c r="E16" s="322">
        <v>12</v>
      </c>
      <c r="F16" s="510">
        <f t="shared" ref="F16:F20" si="1">(C16*D16)/E16</f>
        <v>0.41666666666666669</v>
      </c>
      <c r="H16" s="1266"/>
      <c r="I16" s="1268"/>
    </row>
    <row r="17" spans="2:9">
      <c r="B17" s="321" t="s">
        <v>189</v>
      </c>
      <c r="C17" s="322">
        <v>1</v>
      </c>
      <c r="D17" s="510">
        <v>20</v>
      </c>
      <c r="E17" s="322">
        <v>12</v>
      </c>
      <c r="F17" s="510">
        <f t="shared" si="1"/>
        <v>1.6666666666666667</v>
      </c>
      <c r="H17" s="1265">
        <v>8</v>
      </c>
      <c r="I17" s="1267" t="e">
        <f>#REF!</f>
        <v>#REF!</v>
      </c>
    </row>
    <row r="18" spans="2:9">
      <c r="B18" s="321" t="s">
        <v>207</v>
      </c>
      <c r="C18" s="322">
        <v>1</v>
      </c>
      <c r="D18" s="510">
        <v>40</v>
      </c>
      <c r="E18" s="322">
        <v>12</v>
      </c>
      <c r="F18" s="510">
        <f t="shared" si="1"/>
        <v>3.3333333333333335</v>
      </c>
      <c r="H18" s="1266"/>
      <c r="I18" s="1268"/>
    </row>
    <row r="19" spans="2:9">
      <c r="B19" s="321" t="s">
        <v>208</v>
      </c>
      <c r="C19" s="322">
        <v>1</v>
      </c>
      <c r="D19" s="510">
        <v>7</v>
      </c>
      <c r="E19" s="322">
        <v>12</v>
      </c>
      <c r="F19" s="510">
        <f t="shared" si="1"/>
        <v>0.58333333333333337</v>
      </c>
      <c r="H19" s="1265">
        <v>9</v>
      </c>
      <c r="I19" s="1267" t="e">
        <f>#REF!</f>
        <v>#REF!</v>
      </c>
    </row>
    <row r="20" spans="2:9">
      <c r="B20" s="321" t="s">
        <v>209</v>
      </c>
      <c r="C20" s="322">
        <v>1</v>
      </c>
      <c r="D20" s="510">
        <v>5</v>
      </c>
      <c r="E20" s="322">
        <v>12</v>
      </c>
      <c r="F20" s="510">
        <f t="shared" si="1"/>
        <v>0.41666666666666669</v>
      </c>
      <c r="H20" s="1266"/>
      <c r="I20" s="1268"/>
    </row>
    <row r="21" spans="2:9">
      <c r="B21" s="321" t="s">
        <v>163</v>
      </c>
      <c r="C21" s="322">
        <v>2</v>
      </c>
      <c r="D21" s="510">
        <v>1</v>
      </c>
      <c r="E21" s="322">
        <v>12</v>
      </c>
      <c r="F21" s="510">
        <f>(C21*D21)/E21</f>
        <v>0.16666666666666666</v>
      </c>
      <c r="H21" s="1265">
        <v>10</v>
      </c>
      <c r="I21" s="1267" t="e">
        <f>#REF!</f>
        <v>#REF!</v>
      </c>
    </row>
    <row r="22" spans="2:9">
      <c r="B22" s="1259" t="s">
        <v>147</v>
      </c>
      <c r="C22" s="1259"/>
      <c r="D22" s="1259"/>
      <c r="E22" s="1259"/>
      <c r="F22" s="517">
        <f>F9+F10+F11+F12+F13+F14+F15+F16+F17+F18+F19+F20+F21</f>
        <v>68.366666666666674</v>
      </c>
      <c r="H22" s="1266"/>
      <c r="I22" s="1268"/>
    </row>
    <row r="23" spans="2:9" s="159" customFormat="1">
      <c r="B23" s="512"/>
      <c r="C23" s="513"/>
      <c r="D23" s="513"/>
      <c r="E23" s="513"/>
      <c r="F23" s="514"/>
      <c r="H23" s="1265">
        <v>11</v>
      </c>
      <c r="I23" s="1267" t="e">
        <f>#REF!</f>
        <v>#REF!</v>
      </c>
    </row>
    <row r="24" spans="2:9">
      <c r="B24" s="986" t="s">
        <v>188</v>
      </c>
      <c r="C24" s="986"/>
      <c r="D24" s="986"/>
      <c r="E24" s="986"/>
      <c r="F24" s="986"/>
      <c r="H24" s="1266"/>
      <c r="I24" s="1268"/>
    </row>
    <row r="25" spans="2:9">
      <c r="B25" s="323" t="s">
        <v>114</v>
      </c>
      <c r="C25" s="324" t="s">
        <v>115</v>
      </c>
      <c r="D25" s="324" t="s">
        <v>116</v>
      </c>
      <c r="E25" s="324" t="s">
        <v>117</v>
      </c>
      <c r="F25" s="324" t="s">
        <v>97</v>
      </c>
      <c r="H25" s="1265">
        <v>12</v>
      </c>
      <c r="I25" s="1267" t="e">
        <f>#REF!</f>
        <v>#REF!</v>
      </c>
    </row>
    <row r="26" spans="2:9">
      <c r="B26" s="325" t="s">
        <v>120</v>
      </c>
      <c r="C26" s="326">
        <v>1</v>
      </c>
      <c r="D26" s="515">
        <v>30</v>
      </c>
      <c r="E26" s="326">
        <v>6</v>
      </c>
      <c r="F26" s="516">
        <f>(C26*D26)/E26</f>
        <v>5</v>
      </c>
      <c r="H26" s="1266"/>
      <c r="I26" s="1268"/>
    </row>
    <row r="27" spans="2:9">
      <c r="B27" s="327" t="s">
        <v>125</v>
      </c>
      <c r="C27" s="326">
        <v>1</v>
      </c>
      <c r="D27" s="515">
        <v>400</v>
      </c>
      <c r="E27" s="326">
        <v>60</v>
      </c>
      <c r="F27" s="515">
        <f>C27*D27/E27</f>
        <v>6.666666666666667</v>
      </c>
      <c r="H27" s="1265">
        <v>13</v>
      </c>
      <c r="I27" s="1267" t="e">
        <f>#REF!</f>
        <v>#REF!</v>
      </c>
    </row>
    <row r="28" spans="2:9">
      <c r="B28" s="328" t="s">
        <v>190</v>
      </c>
      <c r="C28" s="326">
        <v>1</v>
      </c>
      <c r="D28" s="515">
        <v>20</v>
      </c>
      <c r="E28" s="326">
        <v>12</v>
      </c>
      <c r="F28" s="515">
        <f t="shared" ref="F28" si="2">(C28*D28)/E28</f>
        <v>1.6666666666666667</v>
      </c>
      <c r="H28" s="1266"/>
      <c r="I28" s="1268"/>
    </row>
    <row r="29" spans="2:9">
      <c r="B29" s="328" t="s">
        <v>210</v>
      </c>
      <c r="C29" s="322">
        <v>1</v>
      </c>
      <c r="D29" s="510">
        <v>30</v>
      </c>
      <c r="E29" s="322">
        <v>12</v>
      </c>
      <c r="F29" s="510">
        <f>(C29*D29)/E29</f>
        <v>2.5</v>
      </c>
      <c r="H29" s="1265">
        <v>14</v>
      </c>
      <c r="I29" s="1267" t="e">
        <f>#REF!</f>
        <v>#REF!</v>
      </c>
    </row>
    <row r="30" spans="2:9">
      <c r="B30" s="321" t="s">
        <v>215</v>
      </c>
      <c r="C30" s="322">
        <v>1</v>
      </c>
      <c r="D30" s="510">
        <v>5</v>
      </c>
      <c r="E30" s="322">
        <v>6</v>
      </c>
      <c r="F30" s="510">
        <f t="shared" ref="F30:F31" si="3">(C30*D30)/E30</f>
        <v>0.83333333333333337</v>
      </c>
      <c r="H30" s="1266"/>
      <c r="I30" s="1268"/>
    </row>
    <row r="31" spans="2:9">
      <c r="B31" s="328" t="s">
        <v>211</v>
      </c>
      <c r="C31" s="322">
        <v>1</v>
      </c>
      <c r="D31" s="510">
        <v>250</v>
      </c>
      <c r="E31" s="322">
        <v>60</v>
      </c>
      <c r="F31" s="510">
        <f t="shared" si="3"/>
        <v>4.166666666666667</v>
      </c>
      <c r="H31" s="1265">
        <v>15</v>
      </c>
      <c r="I31" s="1267" t="e">
        <f>#REF!</f>
        <v>#REF!</v>
      </c>
    </row>
    <row r="32" spans="2:9">
      <c r="B32" s="1259" t="s">
        <v>219</v>
      </c>
      <c r="C32" s="1259"/>
      <c r="D32" s="1259"/>
      <c r="E32" s="1259"/>
      <c r="F32" s="518">
        <f>F26+F27+F28+F29+F30+F31</f>
        <v>20.833333333333336</v>
      </c>
      <c r="H32" s="1266"/>
      <c r="I32" s="1268"/>
    </row>
    <row r="33" spans="2:16">
      <c r="B33" s="331"/>
      <c r="C33" s="508"/>
      <c r="D33" s="508"/>
      <c r="E33" s="508"/>
      <c r="F33" s="333"/>
      <c r="H33" s="1265">
        <v>16</v>
      </c>
      <c r="I33" s="1267" t="e">
        <f>#REF!</f>
        <v>#REF!</v>
      </c>
    </row>
    <row r="34" spans="2:16">
      <c r="B34" s="986" t="s">
        <v>188</v>
      </c>
      <c r="C34" s="986"/>
      <c r="D34" s="986"/>
      <c r="E34" s="986"/>
      <c r="F34" s="986"/>
      <c r="H34" s="1266"/>
      <c r="I34" s="1268"/>
    </row>
    <row r="35" spans="2:16">
      <c r="B35" s="323" t="s">
        <v>114</v>
      </c>
      <c r="C35" s="324" t="s">
        <v>115</v>
      </c>
      <c r="D35" s="324" t="s">
        <v>116</v>
      </c>
      <c r="E35" s="324" t="s">
        <v>117</v>
      </c>
      <c r="F35" s="324" t="s">
        <v>97</v>
      </c>
      <c r="H35" s="1265">
        <v>17</v>
      </c>
      <c r="I35" s="1267" t="e">
        <f>#REF!</f>
        <v>#REF!</v>
      </c>
    </row>
    <row r="36" spans="2:16">
      <c r="B36" s="328" t="s">
        <v>220</v>
      </c>
      <c r="C36" s="322">
        <v>1</v>
      </c>
      <c r="D36" s="510">
        <v>1200</v>
      </c>
      <c r="E36" s="326">
        <v>60</v>
      </c>
      <c r="F36" s="516">
        <f>(C36*D36)/E36</f>
        <v>20</v>
      </c>
      <c r="H36" s="1266"/>
      <c r="I36" s="1268"/>
    </row>
    <row r="37" spans="2:16">
      <c r="B37" s="328" t="s">
        <v>221</v>
      </c>
      <c r="C37" s="322">
        <v>12</v>
      </c>
      <c r="D37" s="510">
        <v>7</v>
      </c>
      <c r="E37" s="326">
        <v>60</v>
      </c>
      <c r="F37" s="515">
        <f>C37*D37/E37</f>
        <v>1.4</v>
      </c>
      <c r="P37" s="4">
        <f>O37*12</f>
        <v>0</v>
      </c>
    </row>
    <row r="38" spans="2:16" ht="15" customHeight="1">
      <c r="B38" s="1259" t="s">
        <v>219</v>
      </c>
      <c r="C38" s="1259"/>
      <c r="D38" s="1259"/>
      <c r="E38" s="1259"/>
      <c r="F38" s="518">
        <f>F36+F37</f>
        <v>21.4</v>
      </c>
      <c r="H38" s="357"/>
    </row>
    <row r="44" spans="2:16">
      <c r="C44" s="1035" t="s">
        <v>241</v>
      </c>
      <c r="D44" s="1035"/>
      <c r="E44" s="1035"/>
      <c r="F44" s="1035"/>
    </row>
    <row r="45" spans="2:16">
      <c r="C45" s="1101" t="s">
        <v>242</v>
      </c>
      <c r="D45" s="1101"/>
      <c r="E45" s="1101"/>
      <c r="F45" s="1101"/>
    </row>
    <row r="142" spans="2:3">
      <c r="B142" s="503">
        <v>5218.5</v>
      </c>
    </row>
    <row r="143" spans="2:3">
      <c r="B143" s="503">
        <f>B142*2</f>
        <v>10437</v>
      </c>
      <c r="C143" s="504">
        <v>10437</v>
      </c>
    </row>
    <row r="144" spans="2:3">
      <c r="B144" s="503">
        <f>B143*2</f>
        <v>20874</v>
      </c>
    </row>
    <row r="145" spans="2:2">
      <c r="B145" s="503">
        <f>B144*12</f>
        <v>250488</v>
      </c>
    </row>
  </sheetData>
  <mergeCells count="37">
    <mergeCell ref="C44:F44"/>
    <mergeCell ref="C45:F45"/>
    <mergeCell ref="H35:H36"/>
    <mergeCell ref="I35:I36"/>
    <mergeCell ref="H29:H30"/>
    <mergeCell ref="I29:I30"/>
    <mergeCell ref="H31:H32"/>
    <mergeCell ref="I31:I32"/>
    <mergeCell ref="H33:H34"/>
    <mergeCell ref="I33:I34"/>
    <mergeCell ref="B38:E38"/>
    <mergeCell ref="H23:H24"/>
    <mergeCell ref="I23:I24"/>
    <mergeCell ref="H25:H26"/>
    <mergeCell ref="I25:I26"/>
    <mergeCell ref="H27:H28"/>
    <mergeCell ref="I27:I28"/>
    <mergeCell ref="B2:F2"/>
    <mergeCell ref="B22:E22"/>
    <mergeCell ref="H11:H12"/>
    <mergeCell ref="I11:I12"/>
    <mergeCell ref="H13:H14"/>
    <mergeCell ref="I13:I14"/>
    <mergeCell ref="H15:H16"/>
    <mergeCell ref="I15:I16"/>
    <mergeCell ref="H17:H18"/>
    <mergeCell ref="I17:I18"/>
    <mergeCell ref="H19:H20"/>
    <mergeCell ref="I19:I20"/>
    <mergeCell ref="H21:H22"/>
    <mergeCell ref="I21:I22"/>
    <mergeCell ref="B24:F24"/>
    <mergeCell ref="B32:E32"/>
    <mergeCell ref="B34:F34"/>
    <mergeCell ref="B4:F4"/>
    <mergeCell ref="B5:F5"/>
    <mergeCell ref="B7:F7"/>
  </mergeCells>
  <printOptions horizontalCentered="1"/>
  <pageMargins left="0.51181102362204722" right="0.51181102362204722" top="2.06" bottom="0.78740157480314965" header="0.31496062992125984" footer="0.31496062992125984"/>
  <pageSetup paperSize="9" scale="74" orientation="portrait" r:id="rId1"/>
  <headerFooter>
    <oddHeader>&amp;L&amp;G&amp;R&amp;G</oddHeader>
    <oddFooter xml:space="preserve">&amp;R
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B1:O59"/>
  <sheetViews>
    <sheetView view="pageBreakPreview" topLeftCell="A16" zoomScaleNormal="100" zoomScaleSheetLayoutView="100" workbookViewId="0">
      <selection activeCell="C47" sqref="C47"/>
    </sheetView>
  </sheetViews>
  <sheetFormatPr defaultRowHeight="12.75"/>
  <cols>
    <col min="1" max="1" width="6" style="432" customWidth="1"/>
    <col min="2" max="2" width="7.85546875" style="447" customWidth="1"/>
    <col min="3" max="3" width="30.28515625" style="444" customWidth="1"/>
    <col min="4" max="4" width="13.7109375" style="444" customWidth="1"/>
    <col min="5" max="5" width="22.28515625" style="447" customWidth="1"/>
    <col min="6" max="6" width="16.28515625" style="447" customWidth="1"/>
    <col min="7" max="7" width="16.5703125" style="444" customWidth="1"/>
    <col min="8" max="8" width="19.7109375" style="444" customWidth="1"/>
    <col min="9" max="9" width="5.28515625" style="444" customWidth="1"/>
    <col min="10" max="10" width="19.85546875" style="432" customWidth="1"/>
    <col min="11" max="11" width="23.7109375" style="432" customWidth="1"/>
    <col min="12" max="12" width="13.28515625" style="433" customWidth="1"/>
    <col min="13" max="13" width="15.85546875" style="434" bestFit="1" customWidth="1"/>
    <col min="14" max="14" width="15.85546875" style="433" bestFit="1" customWidth="1"/>
    <col min="15" max="16384" width="9.140625" style="432"/>
  </cols>
  <sheetData>
    <row r="1" spans="2:15" ht="24.75" customHeight="1">
      <c r="B1" s="913" t="s">
        <v>260</v>
      </c>
      <c r="C1" s="913"/>
      <c r="D1" s="913"/>
      <c r="E1" s="913"/>
      <c r="F1" s="913"/>
      <c r="G1" s="913"/>
      <c r="H1" s="913"/>
      <c r="I1" s="431"/>
    </row>
    <row r="2" spans="2:15" ht="24.75" customHeight="1">
      <c r="B2" s="916" t="s">
        <v>243</v>
      </c>
      <c r="C2" s="916"/>
      <c r="D2" s="916"/>
      <c r="E2" s="916"/>
      <c r="F2" s="916"/>
      <c r="G2" s="916"/>
      <c r="H2" s="916"/>
      <c r="I2" s="435"/>
    </row>
    <row r="3" spans="2:15" ht="39.75" customHeight="1">
      <c r="B3" s="915" t="s">
        <v>264</v>
      </c>
      <c r="C3" s="915"/>
      <c r="D3" s="915"/>
      <c r="E3" s="915"/>
      <c r="F3" s="915"/>
      <c r="G3" s="915"/>
      <c r="H3" s="915"/>
      <c r="I3" s="436"/>
    </row>
    <row r="4" spans="2:15">
      <c r="B4" s="455"/>
      <c r="C4" s="455"/>
      <c r="D4" s="455"/>
      <c r="E4" s="455"/>
      <c r="F4" s="455"/>
      <c r="G4" s="455"/>
      <c r="H4" s="455"/>
      <c r="I4" s="436"/>
    </row>
    <row r="5" spans="2:15">
      <c r="B5" s="915" t="s">
        <v>258</v>
      </c>
      <c r="C5" s="915"/>
      <c r="D5" s="915"/>
      <c r="E5" s="915"/>
      <c r="F5" s="915"/>
      <c r="G5" s="915"/>
      <c r="H5" s="915"/>
      <c r="I5" s="431"/>
    </row>
    <row r="6" spans="2:15">
      <c r="B6" s="455"/>
      <c r="C6" s="455"/>
      <c r="D6" s="455"/>
      <c r="E6" s="455"/>
      <c r="F6" s="455"/>
      <c r="G6" s="455"/>
      <c r="H6" s="455"/>
      <c r="I6" s="431"/>
    </row>
    <row r="7" spans="2:15" ht="84" customHeight="1">
      <c r="B7" s="914" t="s">
        <v>265</v>
      </c>
      <c r="C7" s="914"/>
      <c r="D7" s="914"/>
      <c r="E7" s="914"/>
      <c r="F7" s="914"/>
      <c r="G7" s="914"/>
      <c r="H7" s="914"/>
      <c r="I7" s="437"/>
    </row>
    <row r="8" spans="2:15" ht="11.25" customHeight="1" thickBot="1">
      <c r="B8" s="438"/>
      <c r="C8" s="438"/>
      <c r="D8" s="438"/>
      <c r="E8" s="438"/>
      <c r="F8" s="438"/>
      <c r="G8" s="438"/>
      <c r="H8" s="438"/>
      <c r="I8" s="438"/>
    </row>
    <row r="9" spans="2:15" ht="27.75" customHeight="1" thickBot="1">
      <c r="B9" s="899" t="s">
        <v>261</v>
      </c>
      <c r="C9" s="900"/>
      <c r="D9" s="900"/>
      <c r="E9" s="900"/>
      <c r="F9" s="900"/>
      <c r="G9" s="900"/>
      <c r="H9" s="901"/>
      <c r="I9" s="437"/>
    </row>
    <row r="10" spans="2:15" ht="81.75" customHeight="1" thickBot="1">
      <c r="B10" s="902" t="s">
        <v>262</v>
      </c>
      <c r="C10" s="903"/>
      <c r="D10" s="903"/>
      <c r="E10" s="903"/>
      <c r="F10" s="903"/>
      <c r="G10" s="903"/>
      <c r="H10" s="904"/>
      <c r="I10" s="437"/>
    </row>
    <row r="11" spans="2:15" ht="42" customHeight="1" thickBot="1">
      <c r="B11" s="452" t="s">
        <v>142</v>
      </c>
      <c r="C11" s="452" t="s">
        <v>155</v>
      </c>
      <c r="D11" s="452" t="s">
        <v>271</v>
      </c>
      <c r="E11" s="453" t="s">
        <v>158</v>
      </c>
      <c r="F11" s="453" t="s">
        <v>272</v>
      </c>
      <c r="G11" s="454" t="s">
        <v>270</v>
      </c>
      <c r="H11" s="472" t="s">
        <v>252</v>
      </c>
      <c r="I11" s="439"/>
      <c r="K11" s="433"/>
      <c r="L11" s="434"/>
      <c r="M11" s="433"/>
      <c r="N11" s="432"/>
    </row>
    <row r="12" spans="2:15" ht="36.75" customHeight="1" thickBot="1">
      <c r="B12" s="467">
        <v>1</v>
      </c>
      <c r="C12" s="468" t="s">
        <v>263</v>
      </c>
      <c r="D12" s="469">
        <f>K12/L12</f>
        <v>15</v>
      </c>
      <c r="E12" s="479">
        <v>10292.85</v>
      </c>
      <c r="F12" s="479">
        <f>D12*E12</f>
        <v>154392.75</v>
      </c>
      <c r="G12" s="480">
        <f>D12*12</f>
        <v>180</v>
      </c>
      <c r="H12" s="471">
        <f>G12*E12</f>
        <v>1852713</v>
      </c>
      <c r="I12" s="439"/>
      <c r="J12" s="434" t="e">
        <f>#REF!</f>
        <v>#REF!</v>
      </c>
      <c r="K12" s="456">
        <v>180</v>
      </c>
      <c r="L12" s="456" t="s">
        <v>269</v>
      </c>
      <c r="M12" s="433">
        <f>K12/L12</f>
        <v>15</v>
      </c>
      <c r="N12" s="432"/>
    </row>
    <row r="13" spans="2:15" ht="36.75" customHeight="1" thickBot="1">
      <c r="B13" s="449">
        <v>2</v>
      </c>
      <c r="C13" s="448" t="s">
        <v>266</v>
      </c>
      <c r="D13" s="465">
        <f t="shared" ref="D13:D15" si="0">K13/L13</f>
        <v>8</v>
      </c>
      <c r="E13" s="466"/>
      <c r="F13" s="475">
        <f t="shared" ref="F13:F15" si="1">D13*E13</f>
        <v>0</v>
      </c>
      <c r="G13" s="481">
        <f t="shared" ref="G13:G15" si="2">D13*12</f>
        <v>96</v>
      </c>
      <c r="H13" s="471">
        <f t="shared" ref="H13:H15" si="3">G13*E13</f>
        <v>0</v>
      </c>
      <c r="I13" s="432"/>
      <c r="K13" s="456" t="s">
        <v>273</v>
      </c>
      <c r="L13" s="456" t="s">
        <v>269</v>
      </c>
      <c r="M13" s="456"/>
      <c r="N13" s="456"/>
      <c r="O13" s="456"/>
    </row>
    <row r="14" spans="2:15" ht="36.75" customHeight="1" thickBot="1">
      <c r="B14" s="449">
        <v>3</v>
      </c>
      <c r="C14" s="448" t="s">
        <v>267</v>
      </c>
      <c r="D14" s="465">
        <f t="shared" si="0"/>
        <v>0</v>
      </c>
      <c r="E14" s="473"/>
      <c r="F14" s="475">
        <f t="shared" si="1"/>
        <v>0</v>
      </c>
      <c r="G14" s="481">
        <f t="shared" si="2"/>
        <v>0</v>
      </c>
      <c r="H14" s="471">
        <f t="shared" si="3"/>
        <v>0</v>
      </c>
      <c r="I14" s="432"/>
      <c r="K14" s="456"/>
      <c r="L14" s="456" t="s">
        <v>269</v>
      </c>
      <c r="M14" s="456"/>
      <c r="N14" s="456"/>
      <c r="O14" s="456"/>
    </row>
    <row r="15" spans="2:15" ht="36.75" customHeight="1" thickBot="1">
      <c r="B15" s="450">
        <v>4</v>
      </c>
      <c r="C15" s="451" t="s">
        <v>268</v>
      </c>
      <c r="D15" s="476">
        <f t="shared" si="0"/>
        <v>0</v>
      </c>
      <c r="E15" s="474"/>
      <c r="F15" s="477">
        <f t="shared" si="1"/>
        <v>0</v>
      </c>
      <c r="G15" s="482">
        <f t="shared" si="2"/>
        <v>0</v>
      </c>
      <c r="H15" s="478">
        <f t="shared" si="3"/>
        <v>0</v>
      </c>
      <c r="I15" s="432"/>
      <c r="K15" s="456"/>
      <c r="L15" s="456" t="s">
        <v>269</v>
      </c>
      <c r="M15" s="456"/>
      <c r="N15" s="456"/>
      <c r="O15" s="456"/>
    </row>
    <row r="16" spans="2:15" ht="26.25" customHeight="1" thickBot="1">
      <c r="B16" s="905" t="s">
        <v>274</v>
      </c>
      <c r="C16" s="906"/>
      <c r="D16" s="906"/>
      <c r="E16" s="906"/>
      <c r="F16" s="906"/>
      <c r="G16" s="906"/>
      <c r="H16" s="470">
        <f>SUM(F12:F15)</f>
        <v>154392.75</v>
      </c>
      <c r="I16" s="440"/>
      <c r="J16" s="441"/>
      <c r="K16" s="456"/>
      <c r="L16" s="456" t="s">
        <v>269</v>
      </c>
      <c r="M16" s="456"/>
      <c r="N16" s="456"/>
      <c r="O16" s="456"/>
    </row>
    <row r="17" spans="2:15" ht="26.25" customHeight="1" thickBot="1">
      <c r="B17" s="908" t="s">
        <v>280</v>
      </c>
      <c r="C17" s="909"/>
      <c r="D17" s="910"/>
      <c r="E17" s="911"/>
      <c r="F17" s="911"/>
      <c r="G17" s="911"/>
      <c r="H17" s="912"/>
      <c r="I17" s="440"/>
      <c r="J17" s="441"/>
      <c r="K17" s="483"/>
      <c r="L17" s="483"/>
      <c r="M17" s="483"/>
      <c r="N17" s="483"/>
      <c r="O17" s="483"/>
    </row>
    <row r="18" spans="2:15" ht="26.25" customHeight="1" thickBot="1">
      <c r="B18" s="905" t="s">
        <v>275</v>
      </c>
      <c r="C18" s="906"/>
      <c r="D18" s="906"/>
      <c r="E18" s="906"/>
      <c r="F18" s="906"/>
      <c r="G18" s="906"/>
      <c r="H18" s="470">
        <f>SUM(H12:H15)</f>
        <v>1852713</v>
      </c>
      <c r="I18" s="440"/>
      <c r="J18" s="441"/>
      <c r="K18" s="483"/>
      <c r="L18" s="483"/>
      <c r="M18" s="483"/>
      <c r="N18" s="483"/>
      <c r="O18" s="483"/>
    </row>
    <row r="19" spans="2:15" ht="26.25" customHeight="1" thickBot="1">
      <c r="B19" s="908" t="s">
        <v>281</v>
      </c>
      <c r="C19" s="909"/>
      <c r="D19" s="910"/>
      <c r="E19" s="911"/>
      <c r="F19" s="911"/>
      <c r="G19" s="911"/>
      <c r="H19" s="912"/>
      <c r="I19" s="440"/>
      <c r="J19" s="441"/>
      <c r="K19" s="483"/>
      <c r="L19" s="483"/>
      <c r="M19" s="483"/>
      <c r="N19" s="483"/>
      <c r="O19" s="483"/>
    </row>
    <row r="20" spans="2:15">
      <c r="B20" s="442"/>
      <c r="C20" s="907"/>
      <c r="D20" s="907"/>
      <c r="E20" s="907"/>
      <c r="F20" s="907"/>
      <c r="G20" s="907"/>
      <c r="H20" s="907"/>
      <c r="I20" s="440"/>
    </row>
    <row r="21" spans="2:15">
      <c r="B21" s="446"/>
      <c r="C21" s="443"/>
      <c r="D21" s="443"/>
      <c r="E21" s="443"/>
      <c r="F21" s="443"/>
      <c r="G21" s="443"/>
      <c r="H21" s="443"/>
      <c r="I21" s="440"/>
    </row>
    <row r="22" spans="2:15">
      <c r="B22" s="442"/>
      <c r="C22" s="907"/>
      <c r="D22" s="907"/>
      <c r="E22" s="907"/>
      <c r="F22" s="907"/>
      <c r="G22" s="907"/>
      <c r="H22" s="907"/>
      <c r="I22" s="440"/>
    </row>
    <row r="23" spans="2:15" ht="15">
      <c r="B23" s="921" t="s">
        <v>278</v>
      </c>
      <c r="C23" s="921"/>
      <c r="D23" s="921"/>
      <c r="E23" s="921"/>
      <c r="F23" s="921"/>
      <c r="G23" s="921"/>
      <c r="H23" s="921"/>
      <c r="I23" s="457"/>
      <c r="J23" s="457"/>
      <c r="K23" s="457"/>
    </row>
    <row r="24" spans="2:15" ht="14.25">
      <c r="B24" s="484"/>
      <c r="C24" s="484"/>
      <c r="D24" s="484"/>
      <c r="E24" s="484"/>
      <c r="F24" s="484"/>
      <c r="G24" s="484"/>
      <c r="H24" s="484"/>
      <c r="I24" s="457"/>
      <c r="J24" s="457"/>
      <c r="K24" s="457"/>
    </row>
    <row r="25" spans="2:15" s="463" customFormat="1" ht="39" customHeight="1">
      <c r="B25" s="919" t="s">
        <v>253</v>
      </c>
      <c r="C25" s="919"/>
      <c r="D25" s="919"/>
      <c r="E25" s="919"/>
      <c r="F25" s="919"/>
      <c r="G25" s="919"/>
      <c r="H25" s="919"/>
      <c r="I25" s="461"/>
      <c r="J25" s="461"/>
      <c r="K25" s="461"/>
      <c r="L25" s="462"/>
      <c r="M25" s="462"/>
      <c r="N25" s="462"/>
    </row>
    <row r="26" spans="2:15" s="463" customFormat="1" ht="50.25" customHeight="1">
      <c r="B26" s="919" t="s">
        <v>225</v>
      </c>
      <c r="C26" s="919"/>
      <c r="D26" s="919"/>
      <c r="E26" s="919"/>
      <c r="F26" s="919"/>
      <c r="G26" s="919"/>
      <c r="H26" s="919"/>
      <c r="I26" s="464"/>
      <c r="J26" s="464"/>
      <c r="K26" s="464"/>
      <c r="L26" s="462"/>
      <c r="M26" s="462"/>
      <c r="N26" s="462"/>
    </row>
    <row r="27" spans="2:15" s="463" customFormat="1" ht="46.5" customHeight="1">
      <c r="B27" s="919" t="s">
        <v>226</v>
      </c>
      <c r="C27" s="919"/>
      <c r="D27" s="919"/>
      <c r="E27" s="919"/>
      <c r="F27" s="919"/>
      <c r="G27" s="919"/>
      <c r="H27" s="919"/>
      <c r="I27" s="464"/>
      <c r="J27" s="464"/>
      <c r="K27" s="464"/>
      <c r="L27" s="462"/>
      <c r="M27" s="462"/>
      <c r="N27" s="462"/>
    </row>
    <row r="28" spans="2:15" s="463" customFormat="1" ht="47.25" customHeight="1">
      <c r="B28" s="919" t="s">
        <v>227</v>
      </c>
      <c r="C28" s="919"/>
      <c r="D28" s="919"/>
      <c r="E28" s="919"/>
      <c r="F28" s="919"/>
      <c r="G28" s="919"/>
      <c r="H28" s="919"/>
      <c r="I28" s="464"/>
      <c r="J28" s="464"/>
      <c r="K28" s="464"/>
      <c r="L28" s="462"/>
      <c r="M28" s="462"/>
      <c r="N28" s="462"/>
    </row>
    <row r="29" spans="2:15" s="463" customFormat="1" ht="72" customHeight="1">
      <c r="B29" s="919" t="s">
        <v>279</v>
      </c>
      <c r="C29" s="919"/>
      <c r="D29" s="919"/>
      <c r="E29" s="919"/>
      <c r="F29" s="919"/>
      <c r="G29" s="919"/>
      <c r="H29" s="919"/>
      <c r="I29" s="464"/>
      <c r="J29" s="464"/>
      <c r="K29" s="464"/>
      <c r="L29" s="462"/>
      <c r="M29" s="462"/>
      <c r="N29" s="462"/>
    </row>
    <row r="30" spans="2:15" s="463" customFormat="1" ht="28.5" customHeight="1">
      <c r="B30" s="920" t="s">
        <v>228</v>
      </c>
      <c r="C30" s="920"/>
      <c r="D30" s="920"/>
      <c r="E30" s="920"/>
      <c r="F30" s="920"/>
      <c r="G30" s="920"/>
      <c r="H30" s="920"/>
      <c r="I30" s="461"/>
      <c r="J30" s="461"/>
      <c r="K30" s="461"/>
      <c r="L30" s="462"/>
      <c r="M30" s="462"/>
      <c r="N30" s="462"/>
    </row>
    <row r="31" spans="2:15" s="463" customFormat="1" ht="28.5" customHeight="1">
      <c r="B31" s="919" t="s">
        <v>277</v>
      </c>
      <c r="C31" s="919"/>
      <c r="D31" s="919"/>
      <c r="E31" s="919"/>
      <c r="F31" s="919"/>
      <c r="G31" s="919"/>
      <c r="H31" s="919"/>
      <c r="I31" s="464"/>
      <c r="J31" s="464"/>
      <c r="K31" s="464"/>
      <c r="L31" s="462"/>
      <c r="M31" s="462"/>
      <c r="N31" s="462"/>
    </row>
    <row r="32" spans="2:15" s="463" customFormat="1" ht="39" customHeight="1">
      <c r="B32" s="485"/>
      <c r="C32" s="485"/>
      <c r="D32" s="485"/>
      <c r="E32" s="485"/>
      <c r="F32" s="485"/>
      <c r="G32" s="485"/>
      <c r="H32" s="485"/>
      <c r="I32" s="464"/>
      <c r="J32" s="464"/>
      <c r="K32" s="464"/>
      <c r="L32" s="462"/>
      <c r="M32" s="462"/>
      <c r="N32" s="462"/>
    </row>
    <row r="33" spans="2:14" s="463" customFormat="1" ht="33.75" customHeight="1">
      <c r="B33" s="919" t="s">
        <v>229</v>
      </c>
      <c r="C33" s="919"/>
      <c r="D33" s="919"/>
      <c r="E33" s="919"/>
      <c r="F33" s="919"/>
      <c r="G33" s="919"/>
      <c r="H33" s="919"/>
      <c r="I33" s="464"/>
      <c r="J33" s="464"/>
      <c r="K33" s="464"/>
      <c r="L33" s="462"/>
      <c r="M33" s="462"/>
      <c r="N33" s="462"/>
    </row>
    <row r="34" spans="2:14">
      <c r="B34" s="457"/>
      <c r="C34" s="458"/>
      <c r="D34" s="458"/>
      <c r="E34" s="458"/>
      <c r="F34" s="458"/>
      <c r="G34" s="458"/>
      <c r="H34" s="458"/>
      <c r="I34" s="458"/>
      <c r="J34" s="458"/>
      <c r="K34" s="458"/>
    </row>
    <row r="35" spans="2:14">
      <c r="B35" s="459" t="s">
        <v>230</v>
      </c>
      <c r="C35" s="460"/>
      <c r="D35" s="460"/>
      <c r="E35" s="460"/>
      <c r="F35" s="460"/>
      <c r="G35" s="460"/>
      <c r="H35" s="460"/>
      <c r="I35" s="460"/>
      <c r="J35" s="460"/>
      <c r="K35" s="460"/>
    </row>
    <row r="36" spans="2:14">
      <c r="B36" s="457" t="s">
        <v>231</v>
      </c>
      <c r="C36" s="458"/>
      <c r="D36" s="458"/>
      <c r="E36" s="458"/>
      <c r="F36" s="458"/>
      <c r="G36" s="458"/>
      <c r="H36" s="458"/>
      <c r="I36" s="458"/>
      <c r="J36" s="458"/>
      <c r="K36" s="458"/>
    </row>
    <row r="37" spans="2:14">
      <c r="B37" s="457" t="s">
        <v>276</v>
      </c>
      <c r="C37" s="457"/>
      <c r="D37" s="457"/>
      <c r="E37" s="457"/>
      <c r="F37" s="457"/>
      <c r="G37" s="457"/>
      <c r="H37" s="457"/>
      <c r="I37" s="457"/>
      <c r="J37" s="457"/>
      <c r="K37" s="457"/>
    </row>
    <row r="38" spans="2:14">
      <c r="B38" s="457" t="s">
        <v>232</v>
      </c>
      <c r="C38" s="457"/>
      <c r="D38" s="457"/>
      <c r="E38" s="457"/>
      <c r="F38" s="457"/>
      <c r="G38" s="457"/>
      <c r="H38" s="457"/>
      <c r="I38" s="457"/>
      <c r="J38" s="457"/>
      <c r="K38" s="457"/>
    </row>
    <row r="39" spans="2:14">
      <c r="B39" s="457" t="s">
        <v>233</v>
      </c>
      <c r="C39" s="457"/>
      <c r="D39" s="457"/>
      <c r="E39" s="457"/>
      <c r="F39" s="457"/>
      <c r="G39" s="457"/>
      <c r="H39" s="457"/>
      <c r="I39" s="457"/>
      <c r="J39" s="457"/>
      <c r="K39" s="457"/>
    </row>
    <row r="40" spans="2:14">
      <c r="B40" s="457" t="s">
        <v>234</v>
      </c>
      <c r="C40" s="457"/>
      <c r="D40" s="457"/>
      <c r="E40" s="457"/>
      <c r="F40" s="457"/>
      <c r="G40" s="457"/>
      <c r="H40" s="457"/>
      <c r="I40" s="457"/>
      <c r="J40" s="457"/>
      <c r="K40" s="457"/>
    </row>
    <row r="41" spans="2:14">
      <c r="B41" s="457"/>
      <c r="C41" s="457"/>
      <c r="D41" s="457"/>
      <c r="E41" s="457"/>
      <c r="F41" s="457"/>
      <c r="G41" s="457"/>
      <c r="H41" s="457"/>
      <c r="I41" s="457"/>
      <c r="J41" s="457"/>
      <c r="K41" s="457"/>
    </row>
    <row r="42" spans="2:14">
      <c r="B42" s="459" t="s">
        <v>235</v>
      </c>
      <c r="C42" s="457"/>
      <c r="D42" s="457"/>
      <c r="E42" s="457"/>
      <c r="F42" s="457"/>
      <c r="G42" s="457"/>
      <c r="H42" s="457"/>
      <c r="I42" s="457"/>
      <c r="J42" s="457"/>
      <c r="K42" s="457"/>
    </row>
    <row r="43" spans="2:14">
      <c r="B43" s="457" t="s">
        <v>236</v>
      </c>
      <c r="C43" s="457"/>
      <c r="D43" s="457"/>
      <c r="E43" s="457"/>
      <c r="F43" s="457"/>
      <c r="G43" s="457"/>
      <c r="H43" s="457"/>
      <c r="I43" s="457"/>
      <c r="J43" s="457"/>
      <c r="K43" s="457"/>
    </row>
    <row r="44" spans="2:14">
      <c r="B44" s="457" t="s">
        <v>237</v>
      </c>
      <c r="C44" s="457"/>
      <c r="D44" s="457"/>
      <c r="E44" s="457"/>
      <c r="F44" s="457"/>
      <c r="G44" s="457"/>
      <c r="H44" s="457"/>
      <c r="I44" s="457"/>
      <c r="J44" s="457"/>
      <c r="K44" s="457"/>
    </row>
    <row r="45" spans="2:14">
      <c r="B45" s="457" t="s">
        <v>238</v>
      </c>
      <c r="C45" s="457"/>
      <c r="D45" s="457"/>
      <c r="E45" s="457"/>
      <c r="F45" s="457"/>
      <c r="G45" s="457"/>
      <c r="H45" s="457"/>
      <c r="I45" s="457"/>
      <c r="J45" s="457"/>
      <c r="K45" s="457"/>
    </row>
    <row r="46" spans="2:14">
      <c r="B46" s="457" t="s">
        <v>239</v>
      </c>
      <c r="C46" s="457"/>
      <c r="D46" s="457"/>
      <c r="E46" s="457"/>
      <c r="F46" s="457"/>
      <c r="G46" s="457"/>
      <c r="H46" s="457"/>
      <c r="I46" s="457"/>
      <c r="J46" s="457"/>
      <c r="K46" s="457"/>
    </row>
    <row r="47" spans="2:14">
      <c r="B47" s="457" t="s">
        <v>240</v>
      </c>
      <c r="C47" s="457"/>
      <c r="D47" s="457"/>
      <c r="E47" s="457"/>
      <c r="F47" s="457"/>
      <c r="G47" s="457"/>
      <c r="H47" s="457"/>
      <c r="I47" s="457"/>
      <c r="J47" s="457"/>
      <c r="K47" s="457"/>
    </row>
    <row r="48" spans="2:14">
      <c r="B48" s="442"/>
      <c r="C48" s="445"/>
      <c r="D48" s="445"/>
      <c r="E48" s="918"/>
      <c r="F48" s="918"/>
      <c r="G48" s="918"/>
      <c r="H48" s="918"/>
    </row>
    <row r="49" spans="2:8">
      <c r="B49" s="442"/>
      <c r="C49" s="445"/>
      <c r="D49" s="445"/>
      <c r="E49" s="442"/>
      <c r="F49" s="446"/>
      <c r="G49" s="445"/>
      <c r="H49" s="445"/>
    </row>
    <row r="50" spans="2:8">
      <c r="B50" s="442"/>
      <c r="C50" s="445"/>
      <c r="D50" s="445"/>
      <c r="E50" s="442"/>
      <c r="F50" s="446"/>
      <c r="G50" s="445"/>
      <c r="H50" s="445"/>
    </row>
    <row r="51" spans="2:8">
      <c r="B51" s="442"/>
      <c r="C51" s="445"/>
      <c r="D51" s="445"/>
    </row>
    <row r="52" spans="2:8">
      <c r="B52" s="442"/>
      <c r="C52" s="445"/>
      <c r="D52" s="445"/>
    </row>
    <row r="53" spans="2:8">
      <c r="B53" s="442"/>
      <c r="C53" s="445"/>
      <c r="D53" s="445"/>
      <c r="E53" s="442"/>
      <c r="F53" s="446"/>
      <c r="G53" s="445"/>
      <c r="H53" s="445"/>
    </row>
    <row r="58" spans="2:8">
      <c r="E58" s="917" t="s">
        <v>241</v>
      </c>
      <c r="F58" s="917"/>
      <c r="G58" s="917"/>
      <c r="H58" s="917"/>
    </row>
    <row r="59" spans="2:8">
      <c r="E59" s="918" t="s">
        <v>242</v>
      </c>
      <c r="F59" s="918"/>
      <c r="G59" s="918"/>
      <c r="H59" s="918"/>
    </row>
  </sheetData>
  <mergeCells count="27">
    <mergeCell ref="E58:H58"/>
    <mergeCell ref="E59:H59"/>
    <mergeCell ref="E48:H48"/>
    <mergeCell ref="B18:G18"/>
    <mergeCell ref="B19:C19"/>
    <mergeCell ref="D19:H19"/>
    <mergeCell ref="B27:H27"/>
    <mergeCell ref="B28:H28"/>
    <mergeCell ref="B29:H29"/>
    <mergeCell ref="B30:H30"/>
    <mergeCell ref="B31:H31"/>
    <mergeCell ref="B33:H33"/>
    <mergeCell ref="B23:H23"/>
    <mergeCell ref="B25:H25"/>
    <mergeCell ref="B26:H26"/>
    <mergeCell ref="B1:H1"/>
    <mergeCell ref="B7:H7"/>
    <mergeCell ref="B5:H5"/>
    <mergeCell ref="B3:H3"/>
    <mergeCell ref="B2:H2"/>
    <mergeCell ref="B9:H9"/>
    <mergeCell ref="B10:H10"/>
    <mergeCell ref="B16:G16"/>
    <mergeCell ref="C20:H20"/>
    <mergeCell ref="C22:H22"/>
    <mergeCell ref="B17:C17"/>
    <mergeCell ref="D17:H17"/>
  </mergeCells>
  <printOptions horizontalCentered="1"/>
  <pageMargins left="0.12" right="0.12" top="1.1023622047244095" bottom="1.36" header="0.31496062992125984" footer="0.12"/>
  <pageSetup paperSize="9" scale="70" fitToHeight="2" orientation="portrait" r:id="rId1"/>
  <headerFooter>
    <oddHeader>&amp;L              &amp;G&amp;C
&amp;G&amp;R
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M54"/>
  <sheetViews>
    <sheetView tabSelected="1" view="pageBreakPreview" topLeftCell="A29" zoomScale="90" zoomScaleNormal="100" zoomScaleSheetLayoutView="90" workbookViewId="0">
      <selection activeCell="K32" sqref="K32"/>
    </sheetView>
  </sheetViews>
  <sheetFormatPr defaultRowHeight="12.75"/>
  <cols>
    <col min="1" max="1" width="12.140625" customWidth="1"/>
    <col min="2" max="2" width="13.85546875" customWidth="1"/>
    <col min="3" max="3" width="7.42578125" customWidth="1"/>
    <col min="4" max="4" width="26.85546875" customWidth="1"/>
    <col min="5" max="5" width="12.7109375" customWidth="1"/>
    <col min="6" max="6" width="20.42578125" customWidth="1"/>
    <col min="7" max="7" width="17" customWidth="1"/>
    <col min="8" max="8" width="14.140625" customWidth="1"/>
    <col min="9" max="9" width="15.5703125" customWidth="1"/>
    <col min="10" max="10" width="17.85546875" customWidth="1"/>
    <col min="11" max="11" width="23.28515625" customWidth="1"/>
    <col min="12" max="12" width="17" style="687" bestFit="1" customWidth="1"/>
    <col min="13" max="13" width="17" bestFit="1" customWidth="1"/>
  </cols>
  <sheetData>
    <row r="1" spans="1:10" ht="20.25">
      <c r="A1" s="923" t="s">
        <v>404</v>
      </c>
      <c r="B1" s="923"/>
      <c r="C1" s="923"/>
      <c r="D1" s="923"/>
      <c r="E1" s="923"/>
      <c r="F1" s="923"/>
      <c r="G1" s="923"/>
      <c r="H1" s="923"/>
      <c r="I1" s="923"/>
      <c r="J1" s="646"/>
    </row>
    <row r="2" spans="1:10" ht="20.25">
      <c r="A2" s="923"/>
      <c r="B2" s="923"/>
      <c r="C2" s="923"/>
      <c r="D2" s="923"/>
      <c r="E2" s="923"/>
      <c r="F2" s="923"/>
      <c r="G2" s="923"/>
      <c r="H2" s="923"/>
      <c r="I2" s="923"/>
      <c r="J2" s="646"/>
    </row>
    <row r="3" spans="1:10" ht="20.25">
      <c r="A3" s="923"/>
      <c r="B3" s="923"/>
      <c r="C3" s="923"/>
      <c r="D3" s="923"/>
      <c r="E3" s="923"/>
      <c r="F3" s="923"/>
      <c r="G3" s="923"/>
      <c r="H3" s="923"/>
      <c r="I3" s="923"/>
      <c r="J3" s="646"/>
    </row>
    <row r="4" spans="1:10">
      <c r="A4" s="647"/>
      <c r="B4" s="647"/>
      <c r="C4" s="647"/>
      <c r="D4" s="647"/>
      <c r="E4" s="647"/>
      <c r="F4" s="647"/>
      <c r="G4" s="647"/>
      <c r="H4" s="647"/>
      <c r="I4" s="647"/>
      <c r="J4" s="647"/>
    </row>
    <row r="5" spans="1:10">
      <c r="A5" s="647"/>
      <c r="B5" s="647"/>
      <c r="C5" s="647"/>
      <c r="D5" s="647"/>
      <c r="E5" s="647"/>
      <c r="F5" s="647"/>
      <c r="G5" s="647"/>
      <c r="H5" s="647"/>
      <c r="I5" s="647"/>
      <c r="J5" s="647"/>
    </row>
    <row r="6" spans="1:10" ht="16.5">
      <c r="A6" s="924" t="s">
        <v>418</v>
      </c>
      <c r="B6" s="924"/>
      <c r="C6" s="924"/>
      <c r="D6" s="924"/>
      <c r="E6" s="924"/>
      <c r="F6" s="924"/>
      <c r="G6" s="924"/>
      <c r="H6" s="924"/>
      <c r="I6" s="924"/>
      <c r="J6" s="924"/>
    </row>
    <row r="7" spans="1:10" ht="16.5">
      <c r="A7" s="648"/>
      <c r="B7" s="648"/>
      <c r="C7" s="648"/>
      <c r="D7" s="648"/>
      <c r="E7" s="648"/>
      <c r="F7" s="648"/>
      <c r="G7" s="648"/>
      <c r="H7" s="648"/>
      <c r="I7" s="648"/>
      <c r="J7" s="648"/>
    </row>
    <row r="8" spans="1:10" ht="16.5">
      <c r="A8" s="925" t="s">
        <v>405</v>
      </c>
      <c r="B8" s="925"/>
      <c r="C8" s="925"/>
      <c r="D8" s="925"/>
      <c r="E8" s="925"/>
      <c r="F8" s="925"/>
      <c r="G8" s="925"/>
      <c r="H8" s="925"/>
      <c r="I8" s="925"/>
      <c r="J8" s="925"/>
    </row>
    <row r="9" spans="1:10" ht="16.5">
      <c r="A9" s="926" t="s">
        <v>406</v>
      </c>
      <c r="B9" s="927"/>
      <c r="C9" s="927"/>
      <c r="D9" s="927"/>
      <c r="E9" s="927"/>
      <c r="F9" s="927"/>
      <c r="G9" s="927"/>
      <c r="H9" s="927"/>
      <c r="I9" s="927"/>
      <c r="J9" s="927"/>
    </row>
    <row r="10" spans="1:10" ht="16.5">
      <c r="A10" s="928"/>
      <c r="B10" s="928"/>
      <c r="C10" s="928"/>
      <c r="D10" s="928"/>
      <c r="E10" s="928"/>
      <c r="F10" s="928"/>
      <c r="G10" s="928"/>
      <c r="H10" s="928"/>
      <c r="I10" s="928"/>
      <c r="J10" s="928"/>
    </row>
    <row r="11" spans="1:10" ht="16.5">
      <c r="A11" s="929" t="s">
        <v>419</v>
      </c>
      <c r="B11" s="929"/>
      <c r="C11" s="929"/>
      <c r="D11" s="929"/>
      <c r="E11" s="929"/>
      <c r="F11" s="929"/>
      <c r="G11" s="929"/>
      <c r="H11" s="929"/>
      <c r="I11" s="929"/>
      <c r="J11" s="649"/>
    </row>
    <row r="12" spans="1:10" ht="16.5">
      <c r="A12" s="929" t="s">
        <v>407</v>
      </c>
      <c r="B12" s="929"/>
      <c r="C12" s="929"/>
      <c r="D12" s="929"/>
      <c r="E12" s="929"/>
      <c r="F12" s="929"/>
      <c r="G12" s="929"/>
      <c r="H12" s="929"/>
      <c r="I12" s="929"/>
      <c r="J12" s="649"/>
    </row>
    <row r="13" spans="1:10" ht="16.5">
      <c r="A13" s="930" t="s">
        <v>408</v>
      </c>
      <c r="B13" s="930"/>
      <c r="C13" s="930"/>
      <c r="D13" s="930"/>
      <c r="E13" s="930"/>
      <c r="F13" s="930"/>
      <c r="G13" s="930"/>
      <c r="H13" s="930"/>
      <c r="I13" s="930"/>
      <c r="J13" s="649"/>
    </row>
    <row r="14" spans="1:10" ht="16.5">
      <c r="A14" s="930" t="s">
        <v>409</v>
      </c>
      <c r="B14" s="930"/>
      <c r="C14" s="930"/>
      <c r="D14" s="930"/>
      <c r="E14" s="930"/>
      <c r="F14" s="930"/>
      <c r="G14" s="930"/>
      <c r="H14" s="930"/>
      <c r="I14" s="930"/>
      <c r="J14" s="649"/>
    </row>
    <row r="15" spans="1:10" ht="22.5" customHeight="1">
      <c r="A15" s="931" t="s">
        <v>410</v>
      </c>
      <c r="B15" s="931"/>
      <c r="C15" s="931"/>
      <c r="D15" s="931"/>
      <c r="E15" s="931"/>
      <c r="F15" s="931"/>
      <c r="G15" s="931"/>
      <c r="H15" s="931"/>
      <c r="I15" s="931"/>
      <c r="J15" s="931"/>
    </row>
    <row r="16" spans="1:10" ht="16.5">
      <c r="A16" s="932" t="s">
        <v>417</v>
      </c>
      <c r="B16" s="932"/>
      <c r="C16" s="932"/>
      <c r="D16" s="932"/>
      <c r="E16" s="932"/>
      <c r="F16" s="932"/>
      <c r="G16" s="932"/>
      <c r="H16" s="932"/>
      <c r="I16" s="932"/>
      <c r="J16" s="650"/>
    </row>
    <row r="17" spans="1:13" ht="16.5">
      <c r="A17" s="922"/>
      <c r="B17" s="922"/>
      <c r="C17" s="922"/>
      <c r="D17" s="922"/>
      <c r="E17" s="922"/>
      <c r="F17" s="922"/>
      <c r="G17" s="922"/>
      <c r="H17" s="922"/>
      <c r="I17" s="922"/>
      <c r="J17" s="922"/>
    </row>
    <row r="18" spans="1:13" ht="75.75" customHeight="1">
      <c r="A18" s="935" t="s">
        <v>411</v>
      </c>
      <c r="B18" s="935"/>
      <c r="C18" s="935"/>
      <c r="D18" s="935"/>
      <c r="E18" s="935"/>
      <c r="F18" s="935"/>
      <c r="G18" s="935"/>
      <c r="H18" s="935"/>
      <c r="I18" s="935"/>
      <c r="J18" s="935"/>
    </row>
    <row r="19" spans="1:13" ht="17.25">
      <c r="A19" s="936" t="s">
        <v>412</v>
      </c>
      <c r="B19" s="936"/>
      <c r="C19" s="936"/>
      <c r="D19" s="936"/>
      <c r="E19" s="936"/>
      <c r="F19" s="936"/>
      <c r="G19" s="936"/>
      <c r="H19" s="651"/>
      <c r="I19" s="651"/>
      <c r="J19" s="651"/>
    </row>
    <row r="20" spans="1:13" ht="56.25" customHeight="1">
      <c r="A20" s="937" t="s">
        <v>413</v>
      </c>
      <c r="B20" s="937"/>
      <c r="C20" s="937"/>
      <c r="D20" s="937"/>
      <c r="E20" s="937"/>
      <c r="F20" s="937"/>
      <c r="G20" s="937"/>
      <c r="H20" s="937"/>
      <c r="I20" s="937"/>
      <c r="J20" s="937"/>
    </row>
    <row r="21" spans="1:13" ht="17.25">
      <c r="A21" s="938"/>
      <c r="B21" s="938"/>
      <c r="C21" s="938"/>
      <c r="D21" s="938"/>
      <c r="E21" s="938"/>
      <c r="F21" s="938"/>
      <c r="G21" s="938"/>
      <c r="H21" s="938"/>
      <c r="I21" s="938"/>
      <c r="J21" s="938"/>
    </row>
    <row r="22" spans="1:13" ht="18.75">
      <c r="A22" s="939" t="s">
        <v>414</v>
      </c>
      <c r="B22" s="939"/>
      <c r="C22" s="939"/>
      <c r="D22" s="939"/>
      <c r="E22" s="939"/>
      <c r="F22" s="939"/>
      <c r="G22" s="939"/>
      <c r="H22" s="939"/>
      <c r="I22" s="939"/>
      <c r="J22" s="939"/>
    </row>
    <row r="23" spans="1:13" ht="15">
      <c r="A23" s="940" t="s">
        <v>380</v>
      </c>
      <c r="B23" s="940"/>
      <c r="C23" s="940"/>
      <c r="D23" s="940"/>
      <c r="E23" s="940"/>
      <c r="F23" s="940"/>
      <c r="G23" s="940"/>
      <c r="H23" s="940"/>
      <c r="I23" s="940"/>
      <c r="J23" s="940"/>
    </row>
    <row r="24" spans="1:13" ht="12.75" customHeight="1">
      <c r="A24" s="941" t="s">
        <v>400</v>
      </c>
      <c r="B24" s="941" t="s">
        <v>381</v>
      </c>
      <c r="C24" s="933" t="s">
        <v>142</v>
      </c>
      <c r="D24" s="943" t="s">
        <v>382</v>
      </c>
      <c r="E24" s="944"/>
      <c r="F24" s="933" t="s">
        <v>383</v>
      </c>
      <c r="G24" s="933" t="s">
        <v>384</v>
      </c>
      <c r="H24" s="933" t="s">
        <v>385</v>
      </c>
      <c r="I24" s="933" t="s">
        <v>386</v>
      </c>
      <c r="J24" s="933" t="s">
        <v>387</v>
      </c>
    </row>
    <row r="25" spans="1:13" ht="15" customHeight="1">
      <c r="A25" s="941"/>
      <c r="B25" s="941"/>
      <c r="C25" s="933"/>
      <c r="D25" s="943"/>
      <c r="E25" s="944"/>
      <c r="F25" s="933"/>
      <c r="G25" s="933"/>
      <c r="H25" s="933"/>
      <c r="I25" s="933"/>
      <c r="J25" s="933"/>
    </row>
    <row r="26" spans="1:13" ht="15" customHeight="1">
      <c r="A26" s="942"/>
      <c r="B26" s="942"/>
      <c r="C26" s="934"/>
      <c r="D26" s="945"/>
      <c r="E26" s="946"/>
      <c r="F26" s="934"/>
      <c r="G26" s="934"/>
      <c r="H26" s="934"/>
      <c r="I26" s="934"/>
      <c r="J26" s="934"/>
    </row>
    <row r="27" spans="1:13" ht="28.5" customHeight="1">
      <c r="A27" s="977" t="s">
        <v>401</v>
      </c>
      <c r="B27" s="980" t="s">
        <v>388</v>
      </c>
      <c r="C27" s="983" t="s">
        <v>401</v>
      </c>
      <c r="D27" s="947" t="s">
        <v>389</v>
      </c>
      <c r="E27" s="948"/>
      <c r="F27" s="637">
        <v>4</v>
      </c>
      <c r="G27" s="637">
        <f>F27*2</f>
        <v>8</v>
      </c>
      <c r="H27" s="638">
        <f>'MANAUS DIURNO'!K144</f>
        <v>9229.994526546252</v>
      </c>
      <c r="I27" s="638">
        <f>F27*H27</f>
        <v>36919.978106185008</v>
      </c>
      <c r="J27" s="639">
        <f>I27*12</f>
        <v>443039.7372742201</v>
      </c>
      <c r="K27" s="686"/>
      <c r="L27" s="705"/>
    </row>
    <row r="28" spans="1:13" ht="30" customHeight="1">
      <c r="A28" s="978"/>
      <c r="B28" s="981"/>
      <c r="C28" s="984"/>
      <c r="D28" s="947" t="s">
        <v>390</v>
      </c>
      <c r="E28" s="948"/>
      <c r="F28" s="640">
        <v>4</v>
      </c>
      <c r="G28" s="640">
        <f>F28*2</f>
        <v>8</v>
      </c>
      <c r="H28" s="641">
        <f>'MANAUS NOTU'!K144</f>
        <v>11152.271483305967</v>
      </c>
      <c r="I28" s="641">
        <f>F28*H28</f>
        <v>44609.085933223869</v>
      </c>
      <c r="J28" s="639">
        <f>I28*12-0.01</f>
        <v>535309.02119868645</v>
      </c>
      <c r="K28" s="686"/>
      <c r="L28" s="705"/>
    </row>
    <row r="29" spans="1:13" ht="34.5" customHeight="1">
      <c r="A29" s="978"/>
      <c r="B29" s="981"/>
      <c r="C29" s="984"/>
      <c r="D29" s="947" t="s">
        <v>441</v>
      </c>
      <c r="E29" s="948"/>
      <c r="F29" s="640">
        <v>5</v>
      </c>
      <c r="G29" s="640">
        <f>F29*1</f>
        <v>5</v>
      </c>
      <c r="H29" s="641">
        <f>'MANAUS 44 H'!K144</f>
        <v>4573.3114395183366</v>
      </c>
      <c r="I29" s="641">
        <f>F29*H29</f>
        <v>22866.557197591683</v>
      </c>
      <c r="J29" s="639">
        <f>I29*12</f>
        <v>274398.68637110019</v>
      </c>
      <c r="K29" s="686"/>
      <c r="L29" s="705"/>
    </row>
    <row r="30" spans="1:13" ht="45.75" customHeight="1">
      <c r="A30" s="978"/>
      <c r="B30" s="982"/>
      <c r="C30" s="985"/>
      <c r="D30" s="947" t="s">
        <v>442</v>
      </c>
      <c r="E30" s="948"/>
      <c r="F30" s="640">
        <v>1</v>
      </c>
      <c r="G30" s="640">
        <f>F30*1</f>
        <v>1</v>
      </c>
      <c r="H30" s="641">
        <f>'MANAUS 44 H LÍDER'!K144</f>
        <v>4811.7898193760275</v>
      </c>
      <c r="I30" s="641">
        <f>F30*H30</f>
        <v>4811.7898193760275</v>
      </c>
      <c r="J30" s="639">
        <f>I30*12</f>
        <v>57741.477832512333</v>
      </c>
      <c r="K30" s="686"/>
      <c r="L30" s="689"/>
      <c r="M30" s="706"/>
    </row>
    <row r="31" spans="1:13" ht="15" customHeight="1">
      <c r="A31" s="978"/>
      <c r="B31" s="949" t="s">
        <v>392</v>
      </c>
      <c r="C31" s="949"/>
      <c r="D31" s="949"/>
      <c r="E31" s="949"/>
      <c r="F31" s="949"/>
      <c r="G31" s="949"/>
      <c r="H31" s="950"/>
      <c r="I31" s="955">
        <f>SUM(I27:I30)</f>
        <v>109207.41105637659</v>
      </c>
      <c r="J31" s="956"/>
      <c r="K31" s="686">
        <f>I31*12-0.01</f>
        <v>1310488.922676519</v>
      </c>
      <c r="L31" s="688"/>
      <c r="M31" s="697"/>
    </row>
    <row r="32" spans="1:13" ht="15" customHeight="1">
      <c r="A32" s="978"/>
      <c r="B32" s="949" t="s">
        <v>398</v>
      </c>
      <c r="C32" s="949"/>
      <c r="D32" s="949"/>
      <c r="E32" s="949"/>
      <c r="F32" s="949"/>
      <c r="G32" s="949"/>
      <c r="H32" s="950"/>
      <c r="I32" s="957">
        <f>SUM(J27:J30)</f>
        <v>1310488.922676519</v>
      </c>
      <c r="J32" s="956"/>
      <c r="K32" s="652"/>
      <c r="L32" s="689"/>
    </row>
    <row r="33" spans="1:12" ht="12.75" customHeight="1">
      <c r="A33" s="978"/>
      <c r="B33" s="958" t="s">
        <v>381</v>
      </c>
      <c r="C33" s="961" t="s">
        <v>142</v>
      </c>
      <c r="D33" s="962" t="s">
        <v>382</v>
      </c>
      <c r="E33" s="963"/>
      <c r="F33" s="961" t="s">
        <v>383</v>
      </c>
      <c r="G33" s="961" t="s">
        <v>384</v>
      </c>
      <c r="H33" s="961" t="s">
        <v>385</v>
      </c>
      <c r="I33" s="961" t="s">
        <v>386</v>
      </c>
      <c r="J33" s="961" t="s">
        <v>387</v>
      </c>
      <c r="L33" s="688"/>
    </row>
    <row r="34" spans="1:12" ht="14.25" customHeight="1">
      <c r="A34" s="978"/>
      <c r="B34" s="959"/>
      <c r="C34" s="933"/>
      <c r="D34" s="943"/>
      <c r="E34" s="944"/>
      <c r="F34" s="933"/>
      <c r="G34" s="933"/>
      <c r="H34" s="933"/>
      <c r="I34" s="933"/>
      <c r="J34" s="933"/>
    </row>
    <row r="35" spans="1:12" ht="16.5" customHeight="1">
      <c r="A35" s="978"/>
      <c r="B35" s="960"/>
      <c r="C35" s="934"/>
      <c r="D35" s="945"/>
      <c r="E35" s="946"/>
      <c r="F35" s="934"/>
      <c r="G35" s="934"/>
      <c r="H35" s="934"/>
      <c r="I35" s="934"/>
      <c r="J35" s="934"/>
    </row>
    <row r="36" spans="1:12" ht="27.75" customHeight="1">
      <c r="A36" s="978"/>
      <c r="B36" s="964" t="s">
        <v>393</v>
      </c>
      <c r="C36" s="965" t="s">
        <v>402</v>
      </c>
      <c r="D36" s="947" t="s">
        <v>389</v>
      </c>
      <c r="E36" s="948"/>
      <c r="F36" s="640">
        <v>3</v>
      </c>
      <c r="G36" s="640">
        <f>F36*2</f>
        <v>6</v>
      </c>
      <c r="H36" s="638">
        <f>'TBT DIURNO'!K144</f>
        <v>9328.5842692939241</v>
      </c>
      <c r="I36" s="638">
        <f>H36*F36</f>
        <v>27985.75280788177</v>
      </c>
      <c r="J36" s="638">
        <f>I36*12</f>
        <v>335829.03369458125</v>
      </c>
      <c r="K36" s="686"/>
    </row>
    <row r="37" spans="1:12" ht="30.75" customHeight="1">
      <c r="A37" s="978"/>
      <c r="B37" s="964"/>
      <c r="C37" s="934"/>
      <c r="D37" s="947" t="s">
        <v>390</v>
      </c>
      <c r="E37" s="948"/>
      <c r="F37" s="640">
        <v>2</v>
      </c>
      <c r="G37" s="640">
        <f>F37*2</f>
        <v>4</v>
      </c>
      <c r="H37" s="638">
        <f>'TBT NOTU'!K144</f>
        <v>10971.728872468526</v>
      </c>
      <c r="I37" s="638">
        <f>H37*F37</f>
        <v>21943.457744937052</v>
      </c>
      <c r="J37" s="638">
        <f>I37*12</f>
        <v>263321.49293924461</v>
      </c>
      <c r="K37" s="686"/>
    </row>
    <row r="38" spans="1:12" ht="15">
      <c r="A38" s="978"/>
      <c r="B38" s="951" t="s">
        <v>392</v>
      </c>
      <c r="C38" s="951"/>
      <c r="D38" s="951"/>
      <c r="E38" s="951"/>
      <c r="F38" s="951"/>
      <c r="G38" s="951"/>
      <c r="H38" s="952"/>
      <c r="I38" s="953">
        <f>I36+I37</f>
        <v>49929.210552818826</v>
      </c>
      <c r="J38" s="954"/>
    </row>
    <row r="39" spans="1:12" ht="15">
      <c r="A39" s="978"/>
      <c r="B39" s="966" t="s">
        <v>397</v>
      </c>
      <c r="C39" s="967"/>
      <c r="D39" s="967"/>
      <c r="E39" s="967"/>
      <c r="F39" s="967"/>
      <c r="G39" s="967"/>
      <c r="H39" s="967"/>
      <c r="I39" s="957">
        <f>I38*12</f>
        <v>599150.52663382585</v>
      </c>
      <c r="J39" s="956"/>
    </row>
    <row r="40" spans="1:12" ht="12.75" customHeight="1">
      <c r="A40" s="978"/>
      <c r="B40" s="958" t="s">
        <v>381</v>
      </c>
      <c r="C40" s="961" t="s">
        <v>142</v>
      </c>
      <c r="D40" s="962" t="s">
        <v>382</v>
      </c>
      <c r="E40" s="963"/>
      <c r="F40" s="961" t="s">
        <v>383</v>
      </c>
      <c r="G40" s="961" t="s">
        <v>384</v>
      </c>
      <c r="H40" s="961" t="s">
        <v>385</v>
      </c>
      <c r="I40" s="961" t="s">
        <v>386</v>
      </c>
      <c r="J40" s="961" t="s">
        <v>387</v>
      </c>
    </row>
    <row r="41" spans="1:12" ht="12.75" customHeight="1">
      <c r="A41" s="978"/>
      <c r="B41" s="959"/>
      <c r="C41" s="933"/>
      <c r="D41" s="943"/>
      <c r="E41" s="944"/>
      <c r="F41" s="933"/>
      <c r="G41" s="933"/>
      <c r="H41" s="933"/>
      <c r="I41" s="933"/>
      <c r="J41" s="933"/>
    </row>
    <row r="42" spans="1:12" ht="20.25" customHeight="1">
      <c r="A42" s="978"/>
      <c r="B42" s="960"/>
      <c r="C42" s="934"/>
      <c r="D42" s="945"/>
      <c r="E42" s="946"/>
      <c r="F42" s="934"/>
      <c r="G42" s="934"/>
      <c r="H42" s="934"/>
      <c r="I42" s="934"/>
      <c r="J42" s="934"/>
    </row>
    <row r="43" spans="1:12" ht="40.5" customHeight="1">
      <c r="A43" s="979"/>
      <c r="B43" s="643" t="s">
        <v>394</v>
      </c>
      <c r="C43" s="645" t="s">
        <v>403</v>
      </c>
      <c r="D43" s="972" t="s">
        <v>391</v>
      </c>
      <c r="E43" s="973"/>
      <c r="F43" s="640">
        <v>1</v>
      </c>
      <c r="G43" s="640">
        <v>1</v>
      </c>
      <c r="H43" s="638">
        <f>'TEFÉ 44 H'!K144</f>
        <v>4582.8690366721403</v>
      </c>
      <c r="I43" s="638">
        <f>H43*F43</f>
        <v>4582.8690366721403</v>
      </c>
      <c r="J43" s="638">
        <f>I43*12</f>
        <v>54994.428440065683</v>
      </c>
    </row>
    <row r="44" spans="1:12" ht="15" customHeight="1">
      <c r="A44" s="968" t="s">
        <v>392</v>
      </c>
      <c r="B44" s="968"/>
      <c r="C44" s="968"/>
      <c r="D44" s="968"/>
      <c r="E44" s="968"/>
      <c r="F44" s="968"/>
      <c r="G44" s="968"/>
      <c r="H44" s="968"/>
      <c r="I44" s="974">
        <f>I43</f>
        <v>4582.8690366721403</v>
      </c>
      <c r="J44" s="954"/>
    </row>
    <row r="45" spans="1:12" ht="15">
      <c r="A45" s="967" t="s">
        <v>396</v>
      </c>
      <c r="B45" s="967"/>
      <c r="C45" s="967"/>
      <c r="D45" s="967"/>
      <c r="E45" s="967"/>
      <c r="F45" s="967"/>
      <c r="G45" s="967"/>
      <c r="H45" s="967"/>
      <c r="I45" s="957">
        <f>I44*12</f>
        <v>54994.428440065683</v>
      </c>
      <c r="J45" s="956"/>
    </row>
    <row r="46" spans="1:12" ht="15">
      <c r="A46" s="968" t="s">
        <v>395</v>
      </c>
      <c r="B46" s="968"/>
      <c r="C46" s="968"/>
      <c r="D46" s="644">
        <f>I44+I38+I31</f>
        <v>163719.49064586754</v>
      </c>
      <c r="E46" s="975" t="s">
        <v>430</v>
      </c>
      <c r="F46" s="975"/>
      <c r="G46" s="975"/>
      <c r="H46" s="975"/>
      <c r="I46" s="969"/>
      <c r="J46" s="969"/>
    </row>
    <row r="47" spans="1:12" ht="15">
      <c r="A47" s="968" t="s">
        <v>399</v>
      </c>
      <c r="B47" s="968"/>
      <c r="C47" s="968"/>
      <c r="D47" s="642">
        <f>I45+I39+I32</f>
        <v>1964633.8777504107</v>
      </c>
      <c r="E47" s="969" t="s">
        <v>431</v>
      </c>
      <c r="F47" s="969"/>
      <c r="G47" s="969"/>
      <c r="H47" s="969"/>
      <c r="I47" s="969"/>
      <c r="J47" s="969"/>
    </row>
    <row r="50" spans="1:11">
      <c r="A50" s="976" t="s">
        <v>429</v>
      </c>
      <c r="B50" s="976"/>
      <c r="C50" s="976"/>
      <c r="D50" s="976"/>
    </row>
    <row r="53" spans="1:11" ht="15">
      <c r="A53" s="970" t="s">
        <v>415</v>
      </c>
      <c r="B53" s="970"/>
      <c r="C53" s="970"/>
      <c r="D53" s="970"/>
      <c r="E53" s="970"/>
      <c r="F53" s="970"/>
      <c r="G53" s="970"/>
      <c r="H53" s="970"/>
      <c r="I53" s="970"/>
      <c r="J53" s="970"/>
      <c r="K53" s="970"/>
    </row>
    <row r="54" spans="1:11">
      <c r="A54" s="971" t="s">
        <v>416</v>
      </c>
      <c r="B54" s="971"/>
      <c r="C54" s="971"/>
      <c r="D54" s="971"/>
      <c r="E54" s="971"/>
      <c r="F54" s="971"/>
      <c r="G54" s="971"/>
      <c r="H54" s="971"/>
      <c r="I54" s="971"/>
      <c r="J54" s="971"/>
      <c r="K54" s="971"/>
    </row>
  </sheetData>
  <mergeCells count="74">
    <mergeCell ref="A47:C47"/>
    <mergeCell ref="E47:J47"/>
    <mergeCell ref="A53:K53"/>
    <mergeCell ref="A54:K54"/>
    <mergeCell ref="D43:E43"/>
    <mergeCell ref="A44:H44"/>
    <mergeCell ref="I44:J44"/>
    <mergeCell ref="A45:H45"/>
    <mergeCell ref="I45:J45"/>
    <mergeCell ref="A46:C46"/>
    <mergeCell ref="E46:J46"/>
    <mergeCell ref="A50:D50"/>
    <mergeCell ref="A27:A43"/>
    <mergeCell ref="B27:B30"/>
    <mergeCell ref="C27:C30"/>
    <mergeCell ref="D27:E27"/>
    <mergeCell ref="I39:J39"/>
    <mergeCell ref="B40:B42"/>
    <mergeCell ref="C40:C42"/>
    <mergeCell ref="D40:E42"/>
    <mergeCell ref="F40:F42"/>
    <mergeCell ref="G40:G42"/>
    <mergeCell ref="H40:H42"/>
    <mergeCell ref="I40:I42"/>
    <mergeCell ref="J40:J42"/>
    <mergeCell ref="B39:H39"/>
    <mergeCell ref="I38:J38"/>
    <mergeCell ref="I31:J31"/>
    <mergeCell ref="B32:H32"/>
    <mergeCell ref="I32:J32"/>
    <mergeCell ref="B33:B35"/>
    <mergeCell ref="C33:C35"/>
    <mergeCell ref="D33:E35"/>
    <mergeCell ref="F33:F35"/>
    <mergeCell ref="G33:G35"/>
    <mergeCell ref="H33:H35"/>
    <mergeCell ref="I33:I35"/>
    <mergeCell ref="J33:J35"/>
    <mergeCell ref="B36:B37"/>
    <mergeCell ref="C36:C37"/>
    <mergeCell ref="D36:E36"/>
    <mergeCell ref="D37:E37"/>
    <mergeCell ref="D28:E28"/>
    <mergeCell ref="D29:E29"/>
    <mergeCell ref="D30:E30"/>
    <mergeCell ref="B31:H31"/>
    <mergeCell ref="B38:H38"/>
    <mergeCell ref="J24:J26"/>
    <mergeCell ref="A18:J18"/>
    <mergeCell ref="A19:G19"/>
    <mergeCell ref="A20:J20"/>
    <mergeCell ref="A21:J21"/>
    <mergeCell ref="A22:J22"/>
    <mergeCell ref="A23:J23"/>
    <mergeCell ref="G24:G26"/>
    <mergeCell ref="H24:H26"/>
    <mergeCell ref="I24:I26"/>
    <mergeCell ref="A24:A26"/>
    <mergeCell ref="B24:B26"/>
    <mergeCell ref="C24:C26"/>
    <mergeCell ref="D24:E26"/>
    <mergeCell ref="F24:F26"/>
    <mergeCell ref="A17:J17"/>
    <mergeCell ref="A1:I3"/>
    <mergeCell ref="A6:J6"/>
    <mergeCell ref="A8:J8"/>
    <mergeCell ref="A9:J9"/>
    <mergeCell ref="A10:J10"/>
    <mergeCell ref="A11:I11"/>
    <mergeCell ref="A12:I12"/>
    <mergeCell ref="A13:I13"/>
    <mergeCell ref="A14:I14"/>
    <mergeCell ref="A15:J15"/>
    <mergeCell ref="A16:I16"/>
  </mergeCells>
  <pageMargins left="0.511811024" right="0.511811024" top="0.78740157499999996" bottom="0.78740157499999996" header="0.31496062000000002" footer="0.31496062000000002"/>
  <pageSetup paperSize="9" scale="58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R153"/>
  <sheetViews>
    <sheetView view="pageBreakPreview" topLeftCell="A148" zoomScaleNormal="55" zoomScaleSheetLayoutView="100" workbookViewId="0">
      <selection activeCell="C167" sqref="C167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31.140625" style="236" customWidth="1"/>
    <col min="8" max="8" width="22" style="236" customWidth="1"/>
    <col min="9" max="9" width="7.7109375" style="236" customWidth="1"/>
    <col min="10" max="10" width="13.140625" style="236" customWidth="1"/>
    <col min="11" max="11" width="17.5703125" style="236" customWidth="1"/>
    <col min="12" max="12" width="15.28515625" style="2" customWidth="1"/>
    <col min="13" max="13" width="40.85546875" style="503" customWidth="1"/>
    <col min="14" max="14" width="15.85546875" style="504" bestFit="1" customWidth="1"/>
    <col min="15" max="15" width="18" style="504" bestFit="1" customWidth="1"/>
    <col min="16" max="16" width="21.42578125" style="504" customWidth="1"/>
    <col min="17" max="17" width="18.5703125" style="504" customWidth="1"/>
    <col min="18" max="18" width="13.7109375" style="2" bestFit="1" customWidth="1"/>
    <col min="19" max="16384" width="9.140625" style="2"/>
  </cols>
  <sheetData>
    <row r="1" spans="2:18" s="6" customFormat="1" ht="14.45" customHeight="1">
      <c r="B1" s="987"/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/>
      <c r="N1" s="988"/>
      <c r="O1" s="988"/>
      <c r="P1" s="988"/>
      <c r="Q1" s="988"/>
    </row>
    <row r="2" spans="2:18" s="6" customFormat="1" ht="12.75">
      <c r="B2" s="989"/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8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/>
      <c r="K3" s="343"/>
      <c r="L3" s="5"/>
      <c r="M3" s="997"/>
      <c r="N3" s="997"/>
      <c r="O3" s="997"/>
      <c r="P3" s="997"/>
      <c r="Q3" s="997"/>
    </row>
    <row r="4" spans="2:18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8" s="6" customFormat="1" ht="17.25" customHeight="1">
      <c r="B5" s="1014" t="s">
        <v>353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8" s="6" customFormat="1" ht="12.75">
      <c r="B6" s="597" t="s">
        <v>128</v>
      </c>
      <c r="C6" s="313" t="s">
        <v>129</v>
      </c>
      <c r="D6" s="314"/>
      <c r="E6" s="314"/>
      <c r="F6" s="314"/>
      <c r="G6" s="314"/>
      <c r="H6" s="1015">
        <v>44503</v>
      </c>
      <c r="I6" s="1015"/>
      <c r="J6" s="1015"/>
      <c r="K6" s="1015"/>
      <c r="L6" s="5"/>
      <c r="M6" s="591" t="s">
        <v>356</v>
      </c>
      <c r="N6" s="322">
        <v>4</v>
      </c>
      <c r="O6" s="670">
        <v>35</v>
      </c>
      <c r="P6" s="322">
        <v>0</v>
      </c>
      <c r="Q6" s="592">
        <f>N6*O6</f>
        <v>140</v>
      </c>
    </row>
    <row r="7" spans="2:18" s="6" customFormat="1" ht="12.75">
      <c r="B7" s="597" t="s">
        <v>8</v>
      </c>
      <c r="C7" s="1001" t="s">
        <v>130</v>
      </c>
      <c r="D7" s="1002"/>
      <c r="E7" s="1002"/>
      <c r="F7" s="1002"/>
      <c r="G7" s="1003"/>
      <c r="H7" s="1015" t="s">
        <v>311</v>
      </c>
      <c r="I7" s="1015"/>
      <c r="J7" s="1015"/>
      <c r="K7" s="1015"/>
      <c r="L7" s="5"/>
      <c r="M7" s="591" t="s">
        <v>357</v>
      </c>
      <c r="N7" s="322">
        <v>4</v>
      </c>
      <c r="O7" s="670">
        <v>32</v>
      </c>
      <c r="P7" s="322">
        <v>0</v>
      </c>
      <c r="Q7" s="592">
        <f>(N7*O7)</f>
        <v>128</v>
      </c>
    </row>
    <row r="8" spans="2:18" s="6" customFormat="1" ht="12.75">
      <c r="B8" s="597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710">
        <v>30</v>
      </c>
      <c r="P8" s="322">
        <v>0</v>
      </c>
      <c r="Q8" s="592">
        <f>N8*O8</f>
        <v>60</v>
      </c>
    </row>
    <row r="9" spans="2:18" s="6" customFormat="1" ht="12.75">
      <c r="B9" s="597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4</v>
      </c>
      <c r="O9" s="670">
        <v>5</v>
      </c>
      <c r="P9" s="322">
        <v>0</v>
      </c>
      <c r="Q9" s="592">
        <f>N9*O9</f>
        <v>20</v>
      </c>
      <c r="R9" s="695">
        <f>RESUMO!I32</f>
        <v>1310488.922676519</v>
      </c>
    </row>
    <row r="10" spans="2:18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670">
        <v>10</v>
      </c>
      <c r="P10" s="322">
        <v>0</v>
      </c>
      <c r="Q10" s="592">
        <f>N10*O10</f>
        <v>20</v>
      </c>
      <c r="R10" s="6">
        <v>1310488.92</v>
      </c>
    </row>
    <row r="11" spans="2:18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358</v>
      </c>
      <c r="N11" s="322">
        <v>2</v>
      </c>
      <c r="O11" s="670">
        <v>8</v>
      </c>
      <c r="P11" s="322">
        <v>0</v>
      </c>
      <c r="Q11" s="592">
        <f>N11*O11</f>
        <v>16</v>
      </c>
      <c r="R11" s="695"/>
    </row>
    <row r="12" spans="2:18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12 horas diurnas 12x36 de segunda a domingo</v>
      </c>
      <c r="I12" s="1010"/>
      <c r="J12" s="1010"/>
      <c r="K12" s="1010"/>
      <c r="L12" s="5"/>
      <c r="M12" s="591" t="s">
        <v>359</v>
      </c>
      <c r="N12" s="322">
        <v>2</v>
      </c>
      <c r="O12" s="670">
        <v>10</v>
      </c>
      <c r="P12" s="322">
        <v>0</v>
      </c>
      <c r="Q12" s="592">
        <f>N12*O12</f>
        <v>20</v>
      </c>
    </row>
    <row r="13" spans="2:18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669">
        <f>SUM(Q6:Q12)/33</f>
        <v>12.242424242424242</v>
      </c>
    </row>
    <row r="14" spans="2:18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8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44197</v>
      </c>
      <c r="I15" s="1024"/>
      <c r="J15" s="1024"/>
      <c r="K15" s="1024"/>
      <c r="L15" s="5"/>
      <c r="M15" s="986" t="s">
        <v>360</v>
      </c>
      <c r="N15" s="986"/>
      <c r="O15" s="986"/>
      <c r="P15" s="986"/>
      <c r="Q15" s="986"/>
    </row>
    <row r="16" spans="2:18" s="17" customFormat="1" ht="12.75">
      <c r="B16" s="291"/>
      <c r="C16" s="487"/>
      <c r="D16" s="495"/>
      <c r="E16" s="495"/>
      <c r="F16" s="495"/>
      <c r="G16" s="495"/>
      <c r="H16" s="495"/>
      <c r="I16" s="495"/>
      <c r="J16" s="495"/>
      <c r="K16" s="488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361</v>
      </c>
      <c r="N17" s="326">
        <v>10</v>
      </c>
      <c r="O17" s="711">
        <v>200</v>
      </c>
      <c r="P17" s="326">
        <v>24</v>
      </c>
      <c r="Q17" s="516">
        <f>(N17*O17)/P17</f>
        <v>83.333333333333329</v>
      </c>
    </row>
    <row r="18" spans="2:17" s="17" customFormat="1" ht="12.75">
      <c r="B18" s="291"/>
      <c r="C18" s="487"/>
      <c r="D18" s="495"/>
      <c r="E18" s="495"/>
      <c r="F18" s="495"/>
      <c r="G18" s="495"/>
      <c r="H18" s="495"/>
      <c r="I18" s="495"/>
      <c r="J18" s="487"/>
      <c r="K18" s="488"/>
      <c r="M18" s="327" t="s">
        <v>362</v>
      </c>
      <c r="N18" s="326">
        <v>4</v>
      </c>
      <c r="O18" s="711">
        <v>10</v>
      </c>
      <c r="P18" s="326">
        <v>12</v>
      </c>
      <c r="Q18" s="515">
        <f>N18*O18/P18</f>
        <v>3.3333333333333335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519" t="s">
        <v>26</v>
      </c>
      <c r="I19" s="1018" t="s">
        <v>336</v>
      </c>
      <c r="J19" s="1018"/>
      <c r="K19" s="1018"/>
      <c r="M19" s="328" t="s">
        <v>363</v>
      </c>
      <c r="N19" s="326">
        <v>22</v>
      </c>
      <c r="O19" s="711">
        <v>10</v>
      </c>
      <c r="P19" s="326">
        <v>12</v>
      </c>
      <c r="Q19" s="515">
        <f t="shared" ref="Q19" si="0">(N19*O19)/P19</f>
        <v>18.333333333333332</v>
      </c>
    </row>
    <row r="20" spans="2:17" s="17" customFormat="1" ht="12.75">
      <c r="B20" s="1019" t="str">
        <f>H12</f>
        <v>Vigilância Armada 12 horas diurnas 12x36 de segunda a domingo</v>
      </c>
      <c r="C20" s="1020"/>
      <c r="D20" s="1020"/>
      <c r="E20" s="1020"/>
      <c r="F20" s="1020"/>
      <c r="G20" s="1020"/>
      <c r="H20" s="317" t="s">
        <v>94</v>
      </c>
      <c r="I20" s="1021">
        <v>4</v>
      </c>
      <c r="J20" s="1021"/>
      <c r="K20" s="1021"/>
      <c r="M20" s="328" t="s">
        <v>364</v>
      </c>
      <c r="N20" s="322">
        <v>8</v>
      </c>
      <c r="O20" s="710">
        <v>10</v>
      </c>
      <c r="P20" s="322">
        <v>60</v>
      </c>
      <c r="Q20" s="510">
        <f>(N20*O20)/P20</f>
        <v>1.3333333333333333</v>
      </c>
    </row>
    <row r="21" spans="2:17" s="17" customFormat="1" ht="12.75">
      <c r="B21" s="291"/>
      <c r="C21" s="606"/>
      <c r="D21" s="602"/>
      <c r="E21" s="602"/>
      <c r="F21" s="602"/>
      <c r="G21" s="602"/>
      <c r="H21" s="602"/>
      <c r="I21" s="602"/>
      <c r="J21" s="602"/>
      <c r="K21" s="607"/>
      <c r="M21" s="321" t="s">
        <v>365</v>
      </c>
      <c r="N21" s="322">
        <v>8</v>
      </c>
      <c r="O21" s="710">
        <v>6</v>
      </c>
      <c r="P21" s="322">
        <v>12</v>
      </c>
      <c r="Q21" s="510">
        <f>(N21*O21)/P21</f>
        <v>4</v>
      </c>
    </row>
    <row r="22" spans="2:17" s="17" customFormat="1" ht="25.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366</v>
      </c>
      <c r="N22" s="322">
        <v>22</v>
      </c>
      <c r="O22" s="710">
        <v>80</v>
      </c>
      <c r="P22" s="322">
        <v>24</v>
      </c>
      <c r="Q22" s="510">
        <f t="shared" ref="Q22:Q24" si="1">(N22*O22)/P22</f>
        <v>73.333333333333329</v>
      </c>
    </row>
    <row r="23" spans="2:17" s="17" customFormat="1" ht="12.75">
      <c r="B23" s="291"/>
      <c r="C23" s="495"/>
      <c r="D23" s="495"/>
      <c r="E23" s="495"/>
      <c r="F23" s="495"/>
      <c r="G23" s="495"/>
      <c r="H23" s="495"/>
      <c r="I23" s="495"/>
      <c r="J23" s="495"/>
      <c r="K23" s="488"/>
      <c r="M23" s="328" t="s">
        <v>367</v>
      </c>
      <c r="N23" s="322">
        <v>4</v>
      </c>
      <c r="O23" s="710">
        <v>110</v>
      </c>
      <c r="P23" s="322">
        <v>60</v>
      </c>
      <c r="Q23" s="510">
        <f t="shared" si="1"/>
        <v>7.333333333333333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M24" s="328" t="s">
        <v>368</v>
      </c>
      <c r="N24" s="322">
        <v>3</v>
      </c>
      <c r="O24" s="710">
        <v>98</v>
      </c>
      <c r="P24" s="322">
        <v>24</v>
      </c>
      <c r="Q24" s="510">
        <f t="shared" si="1"/>
        <v>12.25</v>
      </c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328" t="s">
        <v>369</v>
      </c>
      <c r="N25" s="322">
        <v>2</v>
      </c>
      <c r="O25" s="670">
        <v>50</v>
      </c>
      <c r="P25" s="322">
        <v>12</v>
      </c>
      <c r="Q25" s="510">
        <f t="shared" ref="Q25" si="2">(N25*O25)/P25</f>
        <v>8.3333333333333339</v>
      </c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986" t="s">
        <v>147</v>
      </c>
      <c r="N26" s="986"/>
      <c r="O26" s="986"/>
      <c r="P26" s="986"/>
      <c r="Q26" s="668">
        <f>(Q17+Q18+Q19+Q20+Q21+Q25+Q22+Q23+Q24)/22</f>
        <v>9.6174242424242422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986" t="s">
        <v>354</v>
      </c>
      <c r="N28" s="986"/>
      <c r="O28" s="986"/>
      <c r="P28" s="986"/>
      <c r="Q28" s="986"/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3" t="s">
        <v>114</v>
      </c>
      <c r="N29" s="324" t="s">
        <v>115</v>
      </c>
      <c r="O29" s="324" t="s">
        <v>116</v>
      </c>
      <c r="P29" s="324" t="s">
        <v>117</v>
      </c>
      <c r="Q29" s="324" t="s">
        <v>97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220</v>
      </c>
      <c r="N30" s="322">
        <v>10</v>
      </c>
      <c r="O30" s="710">
        <v>960</v>
      </c>
      <c r="P30" s="326">
        <v>120</v>
      </c>
      <c r="Q30" s="516">
        <f>(N30*O30)/P30</f>
        <v>80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328" t="s">
        <v>342</v>
      </c>
      <c r="N31" s="322">
        <v>200</v>
      </c>
      <c r="O31" s="710">
        <v>6.1</v>
      </c>
      <c r="P31" s="326">
        <v>60</v>
      </c>
      <c r="Q31" s="515">
        <f t="shared" ref="Q31:Q32" si="3">N31*O31/P31</f>
        <v>20.333333333333332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489" t="s">
        <v>3</v>
      </c>
      <c r="K32" s="489" t="s">
        <v>1</v>
      </c>
      <c r="M32" s="328" t="s">
        <v>355</v>
      </c>
      <c r="N32" s="322">
        <v>10</v>
      </c>
      <c r="O32" s="710">
        <v>55</v>
      </c>
      <c r="P32" s="326">
        <v>60</v>
      </c>
      <c r="Q32" s="515">
        <f t="shared" si="3"/>
        <v>9.1666666666666661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712">
        <f>K27</f>
        <v>1372.86</v>
      </c>
      <c r="M33" s="986" t="s">
        <v>147</v>
      </c>
      <c r="N33" s="986"/>
      <c r="O33" s="986"/>
      <c r="P33" s="986"/>
      <c r="Q33" s="668">
        <f>(Q30+Q31+Q32)/22</f>
        <v>4.9772727272727275</v>
      </c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617">
        <v>0.3</v>
      </c>
      <c r="K34" s="712">
        <f>K33*J34</f>
        <v>411.85799999999995</v>
      </c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0</v>
      </c>
      <c r="K35" s="712">
        <f>((K33+K34)/220)*0.2*J35</f>
        <v>0</v>
      </c>
      <c r="M35" s="986" t="s">
        <v>370</v>
      </c>
      <c r="N35" s="986"/>
      <c r="O35" s="986"/>
      <c r="P35" s="986"/>
      <c r="Q35" s="986"/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712">
        <f>J36*14.89</f>
        <v>0</v>
      </c>
      <c r="L36" s="21"/>
      <c r="M36" s="323" t="s">
        <v>114</v>
      </c>
      <c r="N36" s="324" t="s">
        <v>115</v>
      </c>
      <c r="O36" s="324" t="s">
        <v>116</v>
      </c>
      <c r="P36" s="324" t="s">
        <v>117</v>
      </c>
      <c r="Q36" s="324" t="s">
        <v>97</v>
      </c>
    </row>
    <row r="37" spans="2:18" s="17" customFormat="1" ht="27" customHeight="1">
      <c r="B37" s="275" t="s">
        <v>11</v>
      </c>
      <c r="C37" s="1032" t="s">
        <v>67</v>
      </c>
      <c r="D37" s="1033"/>
      <c r="E37" s="1033"/>
      <c r="F37" s="1033"/>
      <c r="G37" s="1033"/>
      <c r="H37" s="1033"/>
      <c r="I37" s="1037"/>
      <c r="J37" s="278">
        <v>0</v>
      </c>
      <c r="K37" s="712">
        <v>209.15</v>
      </c>
      <c r="L37" s="21"/>
      <c r="M37" s="635" t="s">
        <v>371</v>
      </c>
      <c r="N37" s="322">
        <v>1</v>
      </c>
      <c r="O37" s="510">
        <v>145</v>
      </c>
      <c r="P37" s="326">
        <v>60</v>
      </c>
      <c r="Q37" s="516">
        <f>(N37*O37)/P37</f>
        <v>2.4166666666666665</v>
      </c>
    </row>
    <row r="38" spans="2:18" s="17" customFormat="1" ht="12.75">
      <c r="B38" s="238" t="s">
        <v>12</v>
      </c>
      <c r="C38" s="1038" t="s">
        <v>110</v>
      </c>
      <c r="D38" s="1039"/>
      <c r="E38" s="1039"/>
      <c r="F38" s="1039"/>
      <c r="G38" s="1039"/>
      <c r="H38" s="1039"/>
      <c r="I38" s="1040"/>
      <c r="J38" s="278">
        <v>0</v>
      </c>
      <c r="K38" s="712">
        <v>0</v>
      </c>
      <c r="L38" s="22"/>
      <c r="M38" s="986"/>
      <c r="N38" s="986"/>
      <c r="O38" s="986"/>
      <c r="P38" s="986"/>
      <c r="Q38" s="668">
        <f>Q37/22</f>
        <v>0.10984848484848485</v>
      </c>
      <c r="R38" s="23"/>
    </row>
    <row r="39" spans="2:18" s="17" customFormat="1">
      <c r="B39" s="1030" t="s">
        <v>434</v>
      </c>
      <c r="C39" s="1030"/>
      <c r="D39" s="1030"/>
      <c r="E39" s="1030"/>
      <c r="F39" s="1030"/>
      <c r="G39" s="1030"/>
      <c r="H39" s="1030"/>
      <c r="I39" s="1030"/>
      <c r="J39" s="1030"/>
      <c r="K39" s="520">
        <f>K33+K34</f>
        <v>1784.7179999999998</v>
      </c>
      <c r="L39" s="22"/>
      <c r="M39" s="503"/>
      <c r="N39" s="618"/>
      <c r="O39" s="618"/>
      <c r="P39" s="618"/>
      <c r="Q39" s="619"/>
      <c r="R39" s="16"/>
    </row>
    <row r="40" spans="2:18" s="17" customFormat="1" ht="15" hidden="1" customHeigh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>
        <f>(K35+K36)/6</f>
        <v>0</v>
      </c>
      <c r="L40" s="22"/>
      <c r="M40" s="503"/>
      <c r="N40" s="504"/>
      <c r="O40" s="504"/>
      <c r="P40" s="504"/>
      <c r="Q40" s="504"/>
    </row>
    <row r="41" spans="2:18" s="17" customFormat="1" ht="15" hidden="1" customHeigh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3778.5859999999998</v>
      </c>
      <c r="L41" s="22"/>
      <c r="M41" s="503"/>
      <c r="N41" s="504"/>
      <c r="O41" s="504"/>
      <c r="P41" s="504"/>
      <c r="Q41" s="504"/>
    </row>
    <row r="42" spans="2:18" s="17" customFormat="1" ht="15" customHeigh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716">
        <f>K33+K34+K37</f>
        <v>1993.8679999999999</v>
      </c>
      <c r="L42" s="22"/>
      <c r="M42" s="503"/>
      <c r="N42" s="504"/>
      <c r="O42" s="504"/>
      <c r="P42" s="504"/>
      <c r="Q42" s="504"/>
    </row>
    <row r="43" spans="2:18" s="17" customFormat="1">
      <c r="B43" s="291"/>
      <c r="C43" s="493"/>
      <c r="D43" s="493"/>
      <c r="E43" s="493"/>
      <c r="F43" s="493"/>
      <c r="G43" s="493"/>
      <c r="H43" s="493"/>
      <c r="I43" s="493"/>
      <c r="J43" s="493"/>
      <c r="K43" s="293"/>
      <c r="L43" s="22"/>
      <c r="M43" s="503"/>
      <c r="N43" s="1035"/>
      <c r="O43" s="1035"/>
      <c r="P43" s="1035"/>
      <c r="Q43" s="1035"/>
      <c r="R43" s="131"/>
    </row>
    <row r="44" spans="2:18" s="17" customFormat="1">
      <c r="B44" s="291"/>
      <c r="C44" s="493"/>
      <c r="D44" s="493"/>
      <c r="E44" s="493"/>
      <c r="F44" s="493"/>
      <c r="G44" s="493"/>
      <c r="H44" s="493"/>
      <c r="I44" s="493"/>
      <c r="J44" s="493"/>
      <c r="K44" s="294"/>
      <c r="L44" s="22"/>
      <c r="M44" s="1036" t="s">
        <v>313</v>
      </c>
      <c r="N44" s="1036"/>
      <c r="O44" s="504"/>
      <c r="P44" s="504"/>
      <c r="Q44" s="457"/>
      <c r="R44" s="132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2"/>
      <c r="M45" s="569" t="s">
        <v>314</v>
      </c>
      <c r="N45" s="570">
        <v>25.5</v>
      </c>
      <c r="O45" s="568"/>
      <c r="P45" s="568"/>
      <c r="Q45" s="504"/>
      <c r="R45" s="131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501" t="s">
        <v>3</v>
      </c>
      <c r="K46" s="501" t="s">
        <v>1</v>
      </c>
      <c r="L46" s="27"/>
      <c r="M46" s="569" t="s">
        <v>315</v>
      </c>
      <c r="N46" s="571">
        <v>15</v>
      </c>
      <c r="O46" s="568"/>
      <c r="P46" s="568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9.0899999999999995E-2</v>
      </c>
      <c r="K47" s="274">
        <f>K39*J47</f>
        <v>162.23086619999998</v>
      </c>
      <c r="L47" s="27"/>
      <c r="M47" s="569" t="s">
        <v>316</v>
      </c>
      <c r="N47" s="570">
        <f>N45*N46</f>
        <v>382.5</v>
      </c>
      <c r="O47" s="568"/>
      <c r="P47" s="568"/>
      <c r="Q47" s="504"/>
    </row>
    <row r="48" spans="2:18" s="17" customFormat="1">
      <c r="B48" s="238" t="s">
        <v>8</v>
      </c>
      <c r="C48" s="1027" t="s">
        <v>435</v>
      </c>
      <c r="D48" s="1027"/>
      <c r="E48" s="1027"/>
      <c r="F48" s="1027"/>
      <c r="G48" s="1027"/>
      <c r="H48" s="1027"/>
      <c r="I48" s="1027"/>
      <c r="J48" s="411">
        <v>0.1212</v>
      </c>
      <c r="K48" s="274">
        <f>K39*J48</f>
        <v>216.30782159999998</v>
      </c>
      <c r="L48" s="29"/>
      <c r="M48" s="569" t="s">
        <v>317</v>
      </c>
      <c r="N48" s="570">
        <f>N47*5%</f>
        <v>19.125</v>
      </c>
      <c r="O48" s="572" t="s">
        <v>318</v>
      </c>
      <c r="P48" s="585" t="s">
        <v>316</v>
      </c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0.21210000000000001</v>
      </c>
      <c r="K49" s="521">
        <f>SUM(K47:K48)</f>
        <v>378.53868779999993</v>
      </c>
      <c r="L49" s="29"/>
      <c r="M49" s="573" t="s">
        <v>319</v>
      </c>
      <c r="N49" s="570">
        <f>N47-N48</f>
        <v>363.375</v>
      </c>
      <c r="O49" s="575">
        <v>1</v>
      </c>
      <c r="P49" s="584">
        <f>O49*N49</f>
        <v>363.375</v>
      </c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7"/>
      <c r="M50" s="1066" t="s">
        <v>320</v>
      </c>
      <c r="N50" s="1066"/>
      <c r="O50" s="622"/>
      <c r="P50" s="621"/>
      <c r="Q50" s="504"/>
    </row>
    <row r="51" spans="2:17" s="17" customFormat="1">
      <c r="B51" s="1030" t="s">
        <v>420</v>
      </c>
      <c r="C51" s="1030"/>
      <c r="D51" s="1030"/>
      <c r="E51" s="1030"/>
      <c r="F51" s="1030"/>
      <c r="G51" s="1030"/>
      <c r="H51" s="1030"/>
      <c r="I51" s="1030"/>
      <c r="J51" s="502" t="s">
        <v>3</v>
      </c>
      <c r="K51" s="502" t="s">
        <v>1</v>
      </c>
      <c r="L51" s="29"/>
      <c r="M51" s="620"/>
      <c r="N51" s="621"/>
      <c r="O51" s="622"/>
      <c r="P51" s="621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707">
        <f>($K$42+$K$49)*J52</f>
        <v>474.48133755999999</v>
      </c>
      <c r="L52" s="27"/>
      <c r="M52" s="1036" t="s">
        <v>321</v>
      </c>
      <c r="N52" s="1036"/>
      <c r="O52" s="568"/>
      <c r="P52" s="568"/>
      <c r="Q52" s="504"/>
    </row>
    <row r="53" spans="2:17" s="17" customForma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707">
        <f t="shared" ref="K53:K59" si="4">($K$42+$K$49)*J53</f>
        <v>59.310167194999998</v>
      </c>
      <c r="L53" s="27"/>
      <c r="M53" s="569" t="s">
        <v>322</v>
      </c>
      <c r="N53" s="577">
        <v>3.8</v>
      </c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0.03</v>
      </c>
      <c r="K54" s="707">
        <f t="shared" si="4"/>
        <v>71.172200633999992</v>
      </c>
      <c r="L54" s="27"/>
      <c r="M54" s="569" t="s">
        <v>323</v>
      </c>
      <c r="N54" s="577">
        <v>2</v>
      </c>
      <c r="O54" s="568"/>
      <c r="P54" s="568"/>
      <c r="Q54" s="504"/>
    </row>
    <row r="55" spans="2:17" s="17" customForma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707">
        <f t="shared" si="4"/>
        <v>35.586100316999996</v>
      </c>
      <c r="L55" s="27"/>
      <c r="M55" s="569" t="s">
        <v>324</v>
      </c>
      <c r="N55" s="571">
        <v>15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707">
        <f t="shared" si="4"/>
        <v>23.724066877999999</v>
      </c>
      <c r="L56" s="27"/>
      <c r="M56" s="569" t="s">
        <v>325</v>
      </c>
      <c r="N56" s="577">
        <f>(N53*N54)*N55</f>
        <v>114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707">
        <f t="shared" si="4"/>
        <v>14.234440126799999</v>
      </c>
      <c r="L57" s="27"/>
      <c r="M57" s="569" t="s">
        <v>326</v>
      </c>
      <c r="N57" s="577">
        <f>K33*6%</f>
        <v>82.371599999999987</v>
      </c>
      <c r="O57" s="572" t="s">
        <v>318</v>
      </c>
      <c r="P57" s="585" t="s">
        <v>316</v>
      </c>
      <c r="Q57" s="504"/>
    </row>
    <row r="58" spans="2:17" s="17" customFormat="1" ht="14.25" customHeigh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707">
        <f t="shared" si="4"/>
        <v>4.7448133755999997</v>
      </c>
      <c r="L58" s="27"/>
      <c r="M58" s="573" t="s">
        <v>319</v>
      </c>
      <c r="N58" s="578">
        <f>N56-N57</f>
        <v>31.628400000000013</v>
      </c>
      <c r="O58" s="575">
        <v>1</v>
      </c>
      <c r="P58" s="584">
        <f>O58*N58</f>
        <v>31.628400000000013</v>
      </c>
      <c r="Q58" s="504"/>
    </row>
    <row r="59" spans="2:17" s="17" customFormat="1" ht="14.25" customHeigh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707">
        <f t="shared" si="4"/>
        <v>189.79253502399999</v>
      </c>
      <c r="L59" s="27"/>
      <c r="M59" s="1066" t="s">
        <v>327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0.36800000000000005</v>
      </c>
      <c r="K60" s="708">
        <f>TRUNC(SUM(K52:K59),2)</f>
        <v>873.04</v>
      </c>
      <c r="L60" s="29"/>
      <c r="M60" s="625"/>
      <c r="N60" s="620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67" t="s">
        <v>328</v>
      </c>
      <c r="N61" s="1067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567" t="s">
        <v>1</v>
      </c>
      <c r="L62" s="29"/>
      <c r="M62" s="569" t="s">
        <v>329</v>
      </c>
      <c r="N62" s="579">
        <v>109.23</v>
      </c>
      <c r="O62" s="568"/>
      <c r="P62" s="568"/>
      <c r="Q62" s="504"/>
    </row>
    <row r="63" spans="2:17" s="17" customFormat="1">
      <c r="B63" s="702" t="s">
        <v>7</v>
      </c>
      <c r="C63" s="1045" t="s">
        <v>113</v>
      </c>
      <c r="D63" s="1046"/>
      <c r="E63" s="1046"/>
      <c r="F63" s="1046"/>
      <c r="G63" s="1046"/>
      <c r="H63" s="1046"/>
      <c r="I63" s="1046"/>
      <c r="J63" s="1047"/>
      <c r="K63" s="703">
        <f>P58</f>
        <v>31.628400000000013</v>
      </c>
      <c r="L63" s="27"/>
      <c r="M63" s="569" t="s">
        <v>330</v>
      </c>
      <c r="N63" s="579">
        <v>1</v>
      </c>
      <c r="O63" s="568"/>
      <c r="P63" s="568"/>
      <c r="Q63" s="504"/>
    </row>
    <row r="64" spans="2:17" s="17" customFormat="1">
      <c r="B64" s="702" t="s">
        <v>8</v>
      </c>
      <c r="C64" s="1045" t="s">
        <v>173</v>
      </c>
      <c r="D64" s="1046"/>
      <c r="E64" s="1046"/>
      <c r="F64" s="1046"/>
      <c r="G64" s="1046"/>
      <c r="H64" s="1046"/>
      <c r="I64" s="1046"/>
      <c r="J64" s="1047"/>
      <c r="K64" s="271">
        <f>P49</f>
        <v>363.375</v>
      </c>
      <c r="L64" s="29"/>
      <c r="M64" s="569" t="s">
        <v>331</v>
      </c>
      <c r="N64" s="580">
        <v>1</v>
      </c>
      <c r="O64" s="568"/>
      <c r="P64" s="568"/>
      <c r="Q64" s="504"/>
    </row>
    <row r="65" spans="2:17" s="17" customFormat="1" ht="15.75">
      <c r="B65" s="702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50"/>
      <c r="K65" s="271">
        <f>N65</f>
        <v>108.23</v>
      </c>
      <c r="L65" s="29"/>
      <c r="M65" s="581" t="s">
        <v>332</v>
      </c>
      <c r="N65" s="583">
        <f>(N62-N63)*N64</f>
        <v>108.23</v>
      </c>
      <c r="O65" s="568"/>
      <c r="P65" s="568"/>
      <c r="Q65" s="504"/>
    </row>
    <row r="66" spans="2:17" s="17" customFormat="1" ht="13.5" customHeight="1">
      <c r="B66" s="702" t="s">
        <v>10</v>
      </c>
      <c r="C66" s="563" t="s">
        <v>438</v>
      </c>
      <c r="D66" s="564"/>
      <c r="E66" s="565"/>
      <c r="F66" s="565"/>
      <c r="G66" s="565"/>
      <c r="H66" s="565"/>
      <c r="I66" s="565"/>
      <c r="J66" s="566"/>
      <c r="K66" s="271">
        <v>10</v>
      </c>
      <c r="L66" s="29"/>
      <c r="M66" s="1066" t="s">
        <v>333</v>
      </c>
      <c r="N66" s="1066"/>
      <c r="O66" s="568"/>
      <c r="P66" s="568"/>
      <c r="Q66" s="504"/>
    </row>
    <row r="67" spans="2:17" s="17" customFormat="1" ht="13.5" customHeigh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TRUNC(SUM(K63:K66),2)</f>
        <v>513.23</v>
      </c>
      <c r="L67" s="27"/>
      <c r="M67" s="623"/>
      <c r="N67" s="626"/>
      <c r="O67" s="624"/>
      <c r="P67" s="624"/>
      <c r="Q67" s="504"/>
    </row>
    <row r="68" spans="2:17" s="17" customFormat="1" ht="13.5" customHeigh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7"/>
      <c r="M68" s="620"/>
      <c r="N68" s="627"/>
      <c r="O68" s="622"/>
      <c r="P68" s="621"/>
      <c r="Q68" s="504"/>
    </row>
    <row r="69" spans="2:17" s="17" customFormat="1" ht="38.25" customHeight="1">
      <c r="B69" s="1043" t="s">
        <v>51</v>
      </c>
      <c r="C69" s="1043"/>
      <c r="D69" s="1043"/>
      <c r="E69" s="1043"/>
      <c r="F69" s="1043"/>
      <c r="G69" s="1043"/>
      <c r="H69" s="1043"/>
      <c r="I69" s="1043"/>
      <c r="J69" s="1043"/>
      <c r="K69" s="1043"/>
      <c r="L69" s="27"/>
      <c r="M69" s="655" t="s">
        <v>421</v>
      </c>
      <c r="N69" s="654" t="s">
        <v>422</v>
      </c>
      <c r="O69" s="320" t="s">
        <v>117</v>
      </c>
      <c r="P69" s="653" t="s">
        <v>423</v>
      </c>
      <c r="Q69" s="590" t="s">
        <v>97</v>
      </c>
    </row>
    <row r="70" spans="2:17" s="17" customFormat="1" ht="12.75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502" t="s">
        <v>1</v>
      </c>
      <c r="L70" s="29"/>
      <c r="M70" s="656" t="s">
        <v>424</v>
      </c>
      <c r="N70" s="575">
        <v>6</v>
      </c>
      <c r="O70" s="322">
        <v>0</v>
      </c>
      <c r="P70" s="696">
        <v>2.5</v>
      </c>
      <c r="Q70" s="592">
        <f>(N70*P70)</f>
        <v>15</v>
      </c>
    </row>
    <row r="71" spans="2:17" s="17" customFormat="1" ht="12.75">
      <c r="B71" s="494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378.53868779999993</v>
      </c>
      <c r="L71" s="29"/>
      <c r="M71" s="573" t="s">
        <v>425</v>
      </c>
      <c r="N71" s="572">
        <v>2</v>
      </c>
      <c r="O71" s="322">
        <v>0</v>
      </c>
      <c r="P71" s="696">
        <v>6.5</v>
      </c>
      <c r="Q71" s="592">
        <f>(N71*P71)</f>
        <v>13</v>
      </c>
    </row>
    <row r="72" spans="2:17" s="17" customFormat="1" ht="12.75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873.04</v>
      </c>
      <c r="L72" s="29"/>
      <c r="M72" s="986" t="s">
        <v>147</v>
      </c>
      <c r="N72" s="986"/>
      <c r="O72" s="986"/>
      <c r="P72" s="986"/>
      <c r="Q72" s="668">
        <f>(Q70+Q71)/22</f>
        <v>1.2727272727272727</v>
      </c>
    </row>
    <row r="73" spans="2:17" s="17" customFormat="1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513.23</v>
      </c>
      <c r="L73" s="29"/>
      <c r="M73" s="568"/>
      <c r="N73" s="628"/>
      <c r="O73" s="568"/>
      <c r="P73" s="568"/>
      <c r="Q73" s="504"/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1764.8</v>
      </c>
      <c r="L74" s="29"/>
      <c r="M74" s="632"/>
      <c r="N74" s="630"/>
      <c r="O74" s="568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620"/>
      <c r="N75" s="633"/>
      <c r="O75" s="582"/>
      <c r="P75" s="568"/>
      <c r="Q75" s="504"/>
    </row>
    <row r="76" spans="2:17" s="17" customFormat="1">
      <c r="B76" s="489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489" t="s">
        <v>3</v>
      </c>
      <c r="K76" s="489" t="s">
        <v>1</v>
      </c>
      <c r="L76" s="675"/>
      <c r="M76" s="634"/>
      <c r="N76" s="620"/>
      <c r="O76" s="582"/>
      <c r="P76" s="568"/>
      <c r="Q76" s="504"/>
    </row>
    <row r="77" spans="2:17" s="17" customFormat="1">
      <c r="B77" s="489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709">
        <v>4.1999999999999997E-3</v>
      </c>
      <c r="K77" s="246">
        <f>K42*J77</f>
        <v>8.3742456000000001</v>
      </c>
      <c r="L77" s="27"/>
      <c r="M77" s="503"/>
      <c r="N77" s="504"/>
      <c r="O77" s="504"/>
      <c r="P77" s="504"/>
      <c r="Q77" s="504"/>
    </row>
    <row r="78" spans="2:17" s="17" customFormat="1">
      <c r="B78" s="489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3.3599999999999998E-4</v>
      </c>
      <c r="K78" s="676">
        <f>K77*J78</f>
        <v>2.8137465216E-3</v>
      </c>
      <c r="L78" s="29"/>
      <c r="M78" s="503"/>
      <c r="N78" s="504"/>
      <c r="O78" s="504"/>
      <c r="P78" s="504"/>
      <c r="Q78" s="504"/>
    </row>
    <row r="79" spans="2:17" s="17" customFormat="1">
      <c r="B79" s="489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2.18E-2</v>
      </c>
      <c r="K79" s="246">
        <f>K77*J79</f>
        <v>0.18255855407999999</v>
      </c>
      <c r="L79" s="29"/>
      <c r="M79" s="503"/>
      <c r="N79" s="504"/>
      <c r="O79" s="504"/>
      <c r="P79" s="504"/>
      <c r="Q79" s="504"/>
    </row>
    <row r="80" spans="2:17" s="17" customFormat="1">
      <c r="B80" s="489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6">
        <f>K42*J80</f>
        <v>38.769655555555552</v>
      </c>
      <c r="L80" s="27"/>
      <c r="M80" s="503"/>
      <c r="N80" s="504"/>
      <c r="O80" s="504"/>
      <c r="P80" s="504"/>
      <c r="Q80" s="504"/>
    </row>
    <row r="81" spans="2:17" s="17" customFormat="1">
      <c r="B81" s="489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7.1555555555555565E-3</v>
      </c>
      <c r="K81" s="246">
        <f>K80*J81</f>
        <v>0.27741842419753088</v>
      </c>
      <c r="L81" s="29"/>
      <c r="M81" s="503"/>
      <c r="N81" s="504"/>
      <c r="O81" s="504"/>
      <c r="P81" s="671"/>
      <c r="Q81" s="504"/>
    </row>
    <row r="82" spans="2:17" s="17" customFormat="1">
      <c r="B82" s="489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2.18E-2</v>
      </c>
      <c r="K82" s="246">
        <f>K80*J82</f>
        <v>0.84517849111111099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7.4735999999999997E-2</v>
      </c>
      <c r="K83" s="249">
        <f>TRUNC(SUM(K77:K82),2)</f>
        <v>48.45</v>
      </c>
      <c r="L83" s="29"/>
      <c r="M83" s="503"/>
      <c r="N83" s="504"/>
      <c r="O83" s="504"/>
      <c r="P83" s="671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690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691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489" t="s">
        <v>3</v>
      </c>
      <c r="K86" s="489" t="s">
        <v>1</v>
      </c>
      <c r="L86" s="29"/>
      <c r="M86" s="503"/>
      <c r="N86" s="690"/>
      <c r="O86" s="504"/>
      <c r="P86" s="504"/>
      <c r="Q86" s="504"/>
    </row>
    <row r="87" spans="2:17" s="17" customFormat="1">
      <c r="B87" s="489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v>9.0899999999999995E-2</v>
      </c>
      <c r="K87" s="242">
        <f>$K$42*J87</f>
        <v>181.2426012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2">
        <f t="shared" ref="K88:K92" si="5">$K$42*J88</f>
        <v>8.9724059999999994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4.0000000000000002E-4</v>
      </c>
      <c r="K89" s="242">
        <f t="shared" si="5"/>
        <v>0.79754720000000001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2.7000000000000001E-3</v>
      </c>
      <c r="K90" s="242">
        <f t="shared" si="5"/>
        <v>5.3834436000000006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2.9999999999999997E-4</v>
      </c>
      <c r="K91" s="242">
        <f t="shared" si="5"/>
        <v>0.59816039999999993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2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9.8799999999999985E-2</v>
      </c>
      <c r="K93" s="260">
        <f>SUM(K87:K92)</f>
        <v>196.9941584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502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489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v>0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0</v>
      </c>
      <c r="L97" s="29"/>
      <c r="M97" s="503"/>
      <c r="N97" s="504"/>
      <c r="O97" s="504"/>
      <c r="P97" s="504"/>
      <c r="Q97" s="504"/>
    </row>
    <row r="98" spans="2:17" s="17" customFormat="1">
      <c r="B98" s="490"/>
      <c r="C98" s="487"/>
      <c r="D98" s="487"/>
      <c r="E98" s="487"/>
      <c r="F98" s="487"/>
      <c r="G98" s="487"/>
      <c r="H98" s="487"/>
      <c r="I98" s="487"/>
      <c r="J98" s="487"/>
      <c r="K98" s="488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502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489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196.9941584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0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196.99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0.75363599999999997</v>
      </c>
      <c r="K104" s="520">
        <f>K93+K83+K60+K49</f>
        <v>1497.0228462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502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502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489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12.242424242424242</v>
      </c>
      <c r="L108" s="29"/>
      <c r="M108" s="503"/>
      <c r="N108" s="504"/>
      <c r="O108" s="504"/>
      <c r="P108" s="504"/>
      <c r="Q108" s="504"/>
    </row>
    <row r="109" spans="2:17" s="17" customFormat="1">
      <c r="B109" s="489" t="s">
        <v>8</v>
      </c>
      <c r="C109" s="1038" t="s">
        <v>426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Q26+Q72</f>
        <v>10.890151515151516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372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Q33+Q38</f>
        <v>5.0871212121212119</v>
      </c>
      <c r="L110" s="29"/>
      <c r="M110" s="503"/>
      <c r="N110" s="504"/>
      <c r="O110" s="504"/>
      <c r="P110" s="504"/>
      <c r="Q110" s="504"/>
    </row>
    <row r="111" spans="2:17" s="17" customFormat="1">
      <c r="B111" s="250" t="s">
        <v>10</v>
      </c>
      <c r="C111" s="1027"/>
      <c r="D111" s="1027"/>
      <c r="E111" s="1027"/>
      <c r="F111" s="1027"/>
      <c r="G111" s="1027"/>
      <c r="H111" s="1027"/>
      <c r="I111" s="1027"/>
      <c r="J111" s="238"/>
      <c r="K111" s="242"/>
      <c r="L111" s="29"/>
      <c r="M111" s="503"/>
      <c r="N111" s="504"/>
      <c r="O111" s="504"/>
      <c r="P111" s="504"/>
      <c r="Q111" s="504"/>
    </row>
    <row r="112" spans="2:17" s="17" customFormat="1">
      <c r="B112" s="1083" t="s">
        <v>70</v>
      </c>
      <c r="C112" s="1083"/>
      <c r="D112" s="1083"/>
      <c r="E112" s="1083"/>
      <c r="F112" s="1083"/>
      <c r="G112" s="1083"/>
      <c r="H112" s="1083"/>
      <c r="I112" s="1083"/>
      <c r="J112" s="419" t="s">
        <v>0</v>
      </c>
      <c r="K112" s="415">
        <f>TRUNC(SUM(K108:K111),2)</f>
        <v>28.21</v>
      </c>
      <c r="L112" s="29"/>
      <c r="M112" s="503"/>
      <c r="N112" s="504"/>
      <c r="O112" s="504"/>
      <c r="P112" s="504"/>
      <c r="Q112" s="504"/>
    </row>
    <row r="113" spans="2:18" s="17" customFormat="1">
      <c r="B113" s="1084">
        <v>1</v>
      </c>
      <c r="C113" s="1084"/>
      <c r="D113" s="1084"/>
      <c r="E113" s="1084"/>
      <c r="F113" s="1084"/>
      <c r="G113" s="1084"/>
      <c r="H113" s="1084"/>
      <c r="I113" s="1084"/>
      <c r="J113" s="1084"/>
      <c r="K113" s="1084"/>
      <c r="L113" s="29"/>
      <c r="M113" s="503"/>
      <c r="N113" s="504"/>
      <c r="O113" s="504"/>
      <c r="P113" s="504"/>
      <c r="Q113" s="504"/>
    </row>
    <row r="114" spans="2:18" s="17" customFormat="1">
      <c r="B114" s="489">
        <v>6</v>
      </c>
      <c r="C114" s="1085" t="s">
        <v>18</v>
      </c>
      <c r="D114" s="1085"/>
      <c r="E114" s="1085"/>
      <c r="F114" s="1085"/>
      <c r="G114" s="1085"/>
      <c r="H114" s="1085"/>
      <c r="I114" s="1085"/>
      <c r="J114" s="489" t="s">
        <v>3</v>
      </c>
      <c r="K114" s="489" t="s">
        <v>1</v>
      </c>
      <c r="L114" s="29"/>
      <c r="M114" s="503"/>
      <c r="N114" s="504"/>
      <c r="O114" s="504"/>
      <c r="P114" s="504"/>
      <c r="Q114" s="504"/>
    </row>
    <row r="115" spans="2:18" s="17" customFormat="1">
      <c r="B115" s="489" t="s">
        <v>7</v>
      </c>
      <c r="C115" s="1044" t="s">
        <v>21</v>
      </c>
      <c r="D115" s="1044"/>
      <c r="E115" s="1044"/>
      <c r="F115" s="1044"/>
      <c r="G115" s="1044"/>
      <c r="H115" s="1044"/>
      <c r="I115" s="1044"/>
      <c r="J115" s="698">
        <v>2.1600000000000001E-2</v>
      </c>
      <c r="K115" s="355">
        <f>TRUNC(J115*K140,2)</f>
        <v>87.09</v>
      </c>
      <c r="L115" s="27"/>
      <c r="M115" s="503"/>
      <c r="N115" s="504"/>
      <c r="O115" s="504"/>
      <c r="P115" s="504"/>
      <c r="Q115" s="504"/>
    </row>
    <row r="116" spans="2:18" s="17" customFormat="1">
      <c r="B116" s="243" t="s">
        <v>8</v>
      </c>
      <c r="C116" s="1044" t="s">
        <v>4</v>
      </c>
      <c r="D116" s="1044"/>
      <c r="E116" s="1044"/>
      <c r="F116" s="1044"/>
      <c r="G116" s="1044"/>
      <c r="H116" s="1044"/>
      <c r="I116" s="1044"/>
      <c r="J116" s="698">
        <v>2.3400000000000001E-2</v>
      </c>
      <c r="K116" s="355">
        <f>TRUNC(J116*(K115+K140),2)</f>
        <v>96.39</v>
      </c>
      <c r="L116" s="27"/>
      <c r="M116" s="503"/>
      <c r="N116" s="504"/>
      <c r="O116" s="504"/>
      <c r="P116" s="504"/>
      <c r="Q116" s="504"/>
    </row>
    <row r="117" spans="2:18" s="17" customFormat="1">
      <c r="B117" s="500" t="s">
        <v>9</v>
      </c>
      <c r="C117" s="1086" t="s">
        <v>28</v>
      </c>
      <c r="D117" s="1087"/>
      <c r="E117" s="1087"/>
      <c r="F117" s="1087"/>
      <c r="G117" s="1087"/>
      <c r="H117" s="1087"/>
      <c r="I117" s="1087"/>
      <c r="J117" s="1088"/>
      <c r="K117" s="1089"/>
      <c r="L117" s="27"/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82</v>
      </c>
      <c r="D118" s="1044"/>
      <c r="E118" s="1044"/>
      <c r="F118" s="1044"/>
      <c r="G118" s="1044"/>
      <c r="H118" s="1044"/>
      <c r="I118" s="1044"/>
      <c r="J118" s="245">
        <v>6.4999999999999997E-3</v>
      </c>
      <c r="K118" s="426">
        <f>TRUNC(J118*K129,2)</f>
        <v>29.99</v>
      </c>
      <c r="L118" s="27"/>
      <c r="M118" s="503"/>
      <c r="N118" s="504"/>
      <c r="O118" s="504"/>
      <c r="P118" s="504"/>
      <c r="Q118" s="504"/>
      <c r="R118" s="128"/>
    </row>
    <row r="119" spans="2:18" s="17" customFormat="1">
      <c r="B119" s="243" t="s">
        <v>29</v>
      </c>
      <c r="C119" s="1044" t="s">
        <v>77</v>
      </c>
      <c r="D119" s="1044"/>
      <c r="E119" s="1044"/>
      <c r="F119" s="1044"/>
      <c r="G119" s="1044"/>
      <c r="H119" s="1044"/>
      <c r="I119" s="1044"/>
      <c r="J119" s="245">
        <v>0.03</v>
      </c>
      <c r="K119" s="426">
        <f>TRUNC(J119*K129,2)</f>
        <v>138.44</v>
      </c>
      <c r="L119" s="25"/>
      <c r="M119" s="503"/>
      <c r="N119" s="504"/>
      <c r="O119" s="504"/>
      <c r="P119" s="504"/>
      <c r="Q119" s="504"/>
    </row>
    <row r="120" spans="2:18" s="17" customFormat="1">
      <c r="B120" s="243" t="s">
        <v>30</v>
      </c>
      <c r="C120" s="1044" t="s">
        <v>80</v>
      </c>
      <c r="D120" s="1044"/>
      <c r="E120" s="1044"/>
      <c r="F120" s="1044"/>
      <c r="G120" s="1044"/>
      <c r="H120" s="1044"/>
      <c r="I120" s="1044"/>
      <c r="J120" s="247" t="s">
        <v>79</v>
      </c>
      <c r="K120" s="426">
        <v>0</v>
      </c>
      <c r="L120" s="25"/>
      <c r="M120" s="503"/>
      <c r="N120" s="504"/>
      <c r="O120" s="504"/>
      <c r="P120" s="504"/>
      <c r="Q120" s="504"/>
    </row>
    <row r="121" spans="2:18" s="17" customFormat="1">
      <c r="B121" s="243" t="s">
        <v>31</v>
      </c>
      <c r="C121" s="1044" t="s">
        <v>78</v>
      </c>
      <c r="D121" s="1044"/>
      <c r="E121" s="1044"/>
      <c r="F121" s="1044"/>
      <c r="G121" s="1044"/>
      <c r="H121" s="1044"/>
      <c r="I121" s="1044"/>
      <c r="J121" s="245">
        <v>0.05</v>
      </c>
      <c r="K121" s="426">
        <f>TRUNC(J121*K129,2)</f>
        <v>230.74</v>
      </c>
      <c r="L121" s="25"/>
      <c r="M121" s="503"/>
      <c r="N121" s="504"/>
      <c r="O121" s="504"/>
      <c r="P121" s="504"/>
      <c r="Q121" s="504"/>
    </row>
    <row r="122" spans="2:18" s="17" customFormat="1">
      <c r="B122" s="1080" t="s">
        <v>72</v>
      </c>
      <c r="C122" s="1080"/>
      <c r="D122" s="1080"/>
      <c r="E122" s="1080"/>
      <c r="F122" s="1080"/>
      <c r="G122" s="1080"/>
      <c r="H122" s="1080"/>
      <c r="I122" s="1080"/>
      <c r="J122" s="420">
        <f>SUM(J115:J121)</f>
        <v>0.13150000000000001</v>
      </c>
      <c r="K122" s="523">
        <f>TRUNC(SUM(K115:K121),2)</f>
        <v>582.65</v>
      </c>
      <c r="L122" s="25"/>
      <c r="M122" s="503"/>
      <c r="N122" s="504"/>
      <c r="O122" s="504"/>
      <c r="P122" s="504"/>
      <c r="Q122" s="504"/>
    </row>
    <row r="123" spans="2:18" s="17" customFormat="1">
      <c r="B123" s="291"/>
      <c r="C123" s="487"/>
      <c r="D123" s="1081"/>
      <c r="E123" s="1081"/>
      <c r="F123" s="1081"/>
      <c r="G123" s="1081"/>
      <c r="H123" s="1081"/>
      <c r="I123" s="1081"/>
      <c r="J123" s="1081"/>
      <c r="K123" s="1082"/>
      <c r="M123" s="503"/>
      <c r="N123" s="504"/>
      <c r="O123" s="504"/>
      <c r="P123" s="504"/>
      <c r="Q123" s="504"/>
    </row>
    <row r="124" spans="2:18" s="17" customFormat="1">
      <c r="B124" s="300" t="s">
        <v>32</v>
      </c>
      <c r="C124" s="301"/>
      <c r="D124" s="1071" t="s">
        <v>33</v>
      </c>
      <c r="E124" s="1071"/>
      <c r="F124" s="1071"/>
      <c r="G124" s="1071"/>
      <c r="H124" s="1071"/>
      <c r="I124" s="1072"/>
      <c r="J124" s="1073">
        <f>TRUNC(J118+J119+J121,4)</f>
        <v>8.6499999999999994E-2</v>
      </c>
      <c r="K124" s="1074"/>
      <c r="L124" s="131"/>
      <c r="M124" s="503"/>
      <c r="N124" s="504"/>
      <c r="O124" s="504"/>
      <c r="P124" s="504"/>
      <c r="Q124" s="504"/>
    </row>
    <row r="125" spans="2:18" s="17" customFormat="1">
      <c r="B125" s="233"/>
      <c r="C125" s="302"/>
      <c r="D125" s="1077">
        <v>100</v>
      </c>
      <c r="E125" s="1078"/>
      <c r="F125" s="1078"/>
      <c r="G125" s="1078"/>
      <c r="H125" s="1078"/>
      <c r="I125" s="1079"/>
      <c r="J125" s="1075"/>
      <c r="K125" s="1076"/>
      <c r="M125" s="503"/>
      <c r="N125" s="504"/>
      <c r="O125" s="504"/>
      <c r="P125" s="504"/>
      <c r="Q125" s="504"/>
      <c r="R125" s="127"/>
    </row>
    <row r="126" spans="2:18" s="17" customFormat="1">
      <c r="B126" s="311"/>
      <c r="C126" s="310"/>
      <c r="D126" s="496"/>
      <c r="E126" s="496"/>
      <c r="F126" s="496"/>
      <c r="G126" s="496"/>
      <c r="H126" s="496"/>
      <c r="I126" s="497"/>
      <c r="J126" s="498"/>
      <c r="K126" s="413"/>
      <c r="L126" s="131"/>
      <c r="M126" s="503"/>
      <c r="N126" s="504"/>
      <c r="O126" s="504"/>
      <c r="P126" s="504"/>
      <c r="Q126" s="504"/>
    </row>
    <row r="127" spans="2:18" s="17" customFormat="1">
      <c r="B127" s="233" t="s">
        <v>34</v>
      </c>
      <c r="C127" s="302"/>
      <c r="D127" s="1078" t="s">
        <v>73</v>
      </c>
      <c r="E127" s="1078"/>
      <c r="F127" s="1078"/>
      <c r="G127" s="1078"/>
      <c r="H127" s="1078"/>
      <c r="I127" s="1079"/>
      <c r="J127" s="499"/>
      <c r="K127" s="429">
        <f>TRUNC(K140+K115+K116,2)</f>
        <v>4215.8</v>
      </c>
      <c r="M127" s="503"/>
      <c r="N127" s="504"/>
      <c r="O127" s="504"/>
      <c r="P127" s="504"/>
      <c r="Q127" s="504"/>
    </row>
    <row r="128" spans="2:18" s="17" customFormat="1">
      <c r="B128" s="300"/>
      <c r="C128" s="301"/>
      <c r="D128" s="496"/>
      <c r="E128" s="496"/>
      <c r="F128" s="496"/>
      <c r="G128" s="496"/>
      <c r="H128" s="496"/>
      <c r="I128" s="497"/>
      <c r="J128" s="498"/>
      <c r="K128" s="414"/>
      <c r="M128" s="503"/>
      <c r="N128" s="504"/>
      <c r="O128" s="504"/>
      <c r="P128" s="504"/>
      <c r="Q128" s="504"/>
    </row>
    <row r="129" spans="2:17" s="17" customFormat="1">
      <c r="B129" s="233" t="s">
        <v>35</v>
      </c>
      <c r="C129" s="302"/>
      <c r="D129" s="1078" t="s">
        <v>36</v>
      </c>
      <c r="E129" s="1078"/>
      <c r="F129" s="1078"/>
      <c r="G129" s="1078"/>
      <c r="H129" s="1078"/>
      <c r="I129" s="1079"/>
      <c r="J129" s="499"/>
      <c r="K129" s="429">
        <f>K127/(1-J124)</f>
        <v>4614.997263273126</v>
      </c>
      <c r="M129" s="503"/>
      <c r="N129" s="504"/>
      <c r="O129" s="504"/>
      <c r="P129" s="504"/>
      <c r="Q129" s="504"/>
    </row>
    <row r="130" spans="2:17" s="17" customFormat="1">
      <c r="B130" s="492"/>
      <c r="C130" s="301"/>
      <c r="D130" s="496"/>
      <c r="E130" s="496"/>
      <c r="F130" s="496"/>
      <c r="G130" s="496"/>
      <c r="H130" s="496"/>
      <c r="I130" s="497"/>
      <c r="J130" s="498"/>
      <c r="K130" s="414"/>
      <c r="M130" s="503"/>
      <c r="N130" s="504"/>
      <c r="O130" s="504"/>
      <c r="P130" s="504"/>
      <c r="Q130" s="504"/>
    </row>
    <row r="131" spans="2:17" s="17" customFormat="1">
      <c r="B131" s="291"/>
      <c r="C131" s="302"/>
      <c r="D131" s="1078" t="s">
        <v>37</v>
      </c>
      <c r="E131" s="1078"/>
      <c r="F131" s="1078"/>
      <c r="G131" s="1078"/>
      <c r="H131" s="1078"/>
      <c r="I131" s="1079"/>
      <c r="J131" s="499"/>
      <c r="K131" s="429">
        <f>TRUNC(K129-K127,2)</f>
        <v>399.19</v>
      </c>
      <c r="M131" s="503"/>
      <c r="N131" s="504"/>
      <c r="O131" s="504"/>
      <c r="P131" s="504"/>
      <c r="Q131" s="504"/>
    </row>
    <row r="132" spans="2:17" s="17" customFormat="1">
      <c r="B132" s="291"/>
      <c r="C132" s="487"/>
      <c r="D132" s="487"/>
      <c r="E132" s="487"/>
      <c r="F132" s="487"/>
      <c r="G132" s="487"/>
      <c r="H132" s="487"/>
      <c r="I132" s="487"/>
      <c r="J132" s="487"/>
      <c r="K132" s="295"/>
      <c r="M132" s="503"/>
      <c r="N132" s="504"/>
      <c r="O132" s="504"/>
      <c r="P132" s="504"/>
      <c r="Q132" s="504"/>
    </row>
    <row r="133" spans="2:17" s="17" customFormat="1">
      <c r="B133" s="1064" t="s">
        <v>83</v>
      </c>
      <c r="C133" s="1064"/>
      <c r="D133" s="1064"/>
      <c r="E133" s="1064"/>
      <c r="F133" s="1064"/>
      <c r="G133" s="1064"/>
      <c r="H133" s="1064"/>
      <c r="I133" s="1064"/>
      <c r="J133" s="1064"/>
      <c r="K133" s="1064"/>
      <c r="M133" s="503"/>
      <c r="N133" s="504"/>
      <c r="O133" s="504"/>
      <c r="P133" s="504"/>
      <c r="Q133" s="504"/>
    </row>
    <row r="134" spans="2:17" s="17" customFormat="1">
      <c r="B134" s="1065" t="s">
        <v>22</v>
      </c>
      <c r="C134" s="1065"/>
      <c r="D134" s="1065"/>
      <c r="E134" s="1065"/>
      <c r="F134" s="1065"/>
      <c r="G134" s="1065"/>
      <c r="H134" s="1065"/>
      <c r="I134" s="1065"/>
      <c r="J134" s="1065"/>
      <c r="K134" s="500" t="s">
        <v>1</v>
      </c>
      <c r="M134" s="503"/>
      <c r="N134" s="504"/>
      <c r="O134" s="504"/>
      <c r="P134" s="504"/>
      <c r="Q134" s="504"/>
    </row>
    <row r="135" spans="2:17" s="17" customFormat="1">
      <c r="B135" s="238" t="s">
        <v>7</v>
      </c>
      <c r="C135" s="1044" t="str">
        <f>B31</f>
        <v>MÓDULO 1 - COMPOSIÇÃO DA REMUNERAÇÃO</v>
      </c>
      <c r="D135" s="1044"/>
      <c r="E135" s="1044"/>
      <c r="F135" s="1044"/>
      <c r="G135" s="1044"/>
      <c r="H135" s="1044"/>
      <c r="I135" s="1044"/>
      <c r="J135" s="1044"/>
      <c r="K135" s="355">
        <f>K42</f>
        <v>1993.8679999999999</v>
      </c>
      <c r="M135" s="595"/>
      <c r="N135" s="504"/>
      <c r="O135" s="504"/>
      <c r="P135" s="504"/>
      <c r="Q135" s="504"/>
    </row>
    <row r="136" spans="2:17" s="17" customFormat="1">
      <c r="B136" s="240" t="s">
        <v>8</v>
      </c>
      <c r="C136" s="1044" t="str">
        <f>B45</f>
        <v>MÓDULO 2 – ENCARGOS E BENEFÍCIOS ANUAIS, MENSAIS E DIÁRIOS</v>
      </c>
      <c r="D136" s="1044"/>
      <c r="E136" s="1044"/>
      <c r="F136" s="1044"/>
      <c r="G136" s="1044"/>
      <c r="H136" s="1044"/>
      <c r="I136" s="1044"/>
      <c r="J136" s="1044"/>
      <c r="K136" s="426">
        <f>K74</f>
        <v>1764.8</v>
      </c>
      <c r="M136" s="595"/>
      <c r="N136" s="504"/>
      <c r="O136" s="504"/>
      <c r="P136" s="504"/>
      <c r="Q136" s="504"/>
    </row>
    <row r="137" spans="2:17" s="17" customFormat="1">
      <c r="B137" s="240" t="s">
        <v>9</v>
      </c>
      <c r="C137" s="1044" t="str">
        <f>B75</f>
        <v>MÓDULO 3 – PROVISÃO PARA RESCISÃO</v>
      </c>
      <c r="D137" s="1044"/>
      <c r="E137" s="1044"/>
      <c r="F137" s="1044"/>
      <c r="G137" s="1044"/>
      <c r="H137" s="1044"/>
      <c r="I137" s="1044"/>
      <c r="J137" s="1044"/>
      <c r="K137" s="426">
        <f>K83</f>
        <v>48.45</v>
      </c>
      <c r="M137" s="595"/>
      <c r="N137" s="504"/>
      <c r="O137" s="504"/>
      <c r="P137" s="504"/>
      <c r="Q137" s="504"/>
    </row>
    <row r="138" spans="2:17" s="17" customFormat="1">
      <c r="B138" s="238" t="s">
        <v>10</v>
      </c>
      <c r="C138" s="1044" t="str">
        <f>B85</f>
        <v>MÓDULO 4 – CUSTO DE REPOSIÇÃO DO PROFISSIONAL AUSENTE</v>
      </c>
      <c r="D138" s="1044"/>
      <c r="E138" s="1044"/>
      <c r="F138" s="1044"/>
      <c r="G138" s="1044"/>
      <c r="H138" s="1044"/>
      <c r="I138" s="1044"/>
      <c r="J138" s="1044"/>
      <c r="K138" s="426">
        <f>K103</f>
        <v>196.99</v>
      </c>
      <c r="M138" s="595"/>
      <c r="N138" s="504"/>
      <c r="O138" s="504"/>
      <c r="P138" s="504"/>
      <c r="Q138" s="504"/>
    </row>
    <row r="139" spans="2:17" s="17" customFormat="1" ht="15.75" thickBot="1">
      <c r="B139" s="424" t="s">
        <v>11</v>
      </c>
      <c r="C139" s="1061" t="str">
        <f>B106</f>
        <v>MÓDULO 5 – INSUMOS DIVERSOS</v>
      </c>
      <c r="D139" s="1061"/>
      <c r="E139" s="1061"/>
      <c r="F139" s="1061"/>
      <c r="G139" s="1061"/>
      <c r="H139" s="1061"/>
      <c r="I139" s="1061"/>
      <c r="J139" s="1061"/>
      <c r="K139" s="427">
        <f>K112</f>
        <v>28.21</v>
      </c>
      <c r="M139" s="595"/>
      <c r="N139" s="504"/>
      <c r="O139" s="504"/>
      <c r="P139" s="504"/>
      <c r="Q139" s="504"/>
    </row>
    <row r="140" spans="2:17" s="17" customFormat="1">
      <c r="B140" s="1062" t="s">
        <v>74</v>
      </c>
      <c r="C140" s="1063"/>
      <c r="D140" s="1063"/>
      <c r="E140" s="1063"/>
      <c r="F140" s="1063"/>
      <c r="G140" s="1063"/>
      <c r="H140" s="1063"/>
      <c r="I140" s="1063"/>
      <c r="J140" s="1063"/>
      <c r="K140" s="430">
        <f>TRUNC(SUM(K135:K139),2)+0.01</f>
        <v>4032.32</v>
      </c>
      <c r="M140" s="595"/>
      <c r="N140" s="504"/>
      <c r="O140" s="504"/>
      <c r="P140" s="504"/>
      <c r="Q140" s="504"/>
    </row>
    <row r="141" spans="2:17" s="17" customFormat="1">
      <c r="B141" s="425" t="s">
        <v>13</v>
      </c>
      <c r="C141" s="1061">
        <f>B113</f>
        <v>1</v>
      </c>
      <c r="D141" s="1061"/>
      <c r="E141" s="1061"/>
      <c r="F141" s="1061"/>
      <c r="G141" s="1061"/>
      <c r="H141" s="1061"/>
      <c r="I141" s="1061"/>
      <c r="J141" s="1061"/>
      <c r="K141" s="428">
        <f>K122</f>
        <v>582.65</v>
      </c>
      <c r="M141" s="595"/>
      <c r="N141" s="504"/>
      <c r="O141" s="504"/>
      <c r="P141" s="504"/>
      <c r="Q141" s="504"/>
    </row>
    <row r="142" spans="2:17" s="17" customFormat="1">
      <c r="B142" s="1064" t="s">
        <v>75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f>(K140+K116+K115)/(1-J124)</f>
        <v>4614.997263273126</v>
      </c>
      <c r="M142" s="595"/>
      <c r="N142" s="504"/>
      <c r="O142" s="504"/>
      <c r="P142" s="504"/>
      <c r="Q142" s="504"/>
    </row>
    <row r="143" spans="2:17" s="17" customFormat="1">
      <c r="B143" s="1064" t="s">
        <v>100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v>2</v>
      </c>
      <c r="L143" s="25"/>
      <c r="M143" s="503"/>
      <c r="N143" s="504"/>
      <c r="O143" s="504"/>
      <c r="P143" s="504"/>
      <c r="Q143" s="504"/>
    </row>
    <row r="144" spans="2:17" s="17" customFormat="1">
      <c r="B144" s="1064" t="s">
        <v>143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f>K142*K143</f>
        <v>9229.994526546252</v>
      </c>
      <c r="L144" s="25"/>
      <c r="M144" s="595"/>
      <c r="N144" s="504"/>
      <c r="O144" s="504"/>
      <c r="P144" s="504"/>
      <c r="Q144" s="504"/>
    </row>
    <row r="145" spans="2:17" s="17" customFormat="1">
      <c r="B145" s="1064" t="s">
        <v>122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v>4</v>
      </c>
      <c r="L145" s="16"/>
      <c r="M145" s="503"/>
      <c r="N145" s="504"/>
      <c r="O145" s="504"/>
      <c r="P145" s="504"/>
      <c r="Q145" s="504"/>
    </row>
    <row r="146" spans="2:17" s="17" customFormat="1">
      <c r="B146" s="1064" t="s">
        <v>144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K144*K145</f>
        <v>36919.978106185008</v>
      </c>
      <c r="L146" s="25"/>
      <c r="M146" s="595"/>
      <c r="N146" s="504"/>
      <c r="O146" s="504"/>
      <c r="P146" s="504"/>
      <c r="Q146" s="504"/>
    </row>
    <row r="147" spans="2:17" s="17" customFormat="1">
      <c r="B147" s="1064" t="s">
        <v>145</v>
      </c>
      <c r="C147" s="1064"/>
      <c r="D147" s="1064"/>
      <c r="E147" s="1064"/>
      <c r="F147" s="1064"/>
      <c r="G147" s="1064"/>
      <c r="H147" s="1064"/>
      <c r="I147" s="1064"/>
      <c r="J147" s="1064"/>
      <c r="K147" s="347">
        <f>K146*12</f>
        <v>443039.7372742201</v>
      </c>
      <c r="M147" s="503"/>
      <c r="N147" s="504"/>
      <c r="O147" s="504"/>
      <c r="P147" s="504"/>
      <c r="Q147" s="504"/>
    </row>
    <row r="148" spans="2:17" s="29" customFormat="1">
      <c r="B148" s="234"/>
      <c r="C148" s="421"/>
      <c r="D148" s="421"/>
      <c r="E148" s="421"/>
      <c r="F148" s="421"/>
      <c r="G148" s="421"/>
      <c r="H148" s="421"/>
      <c r="I148" s="421"/>
      <c r="J148" s="421"/>
      <c r="K148" s="421"/>
      <c r="M148" s="595"/>
      <c r="N148" s="504"/>
      <c r="O148" s="504"/>
      <c r="P148" s="504"/>
      <c r="Q148" s="504"/>
    </row>
    <row r="149" spans="2:17" s="29" customFormat="1" ht="15" customHeight="1">
      <c r="B149" s="422"/>
      <c r="C149" s="422"/>
      <c r="D149" s="422"/>
      <c r="E149" s="422"/>
      <c r="F149" s="422"/>
      <c r="G149" s="422"/>
      <c r="H149" s="524"/>
      <c r="I149" s="524"/>
      <c r="J149" s="524"/>
      <c r="K149" s="524"/>
      <c r="M149" s="503"/>
      <c r="N149" s="504"/>
      <c r="O149" s="504"/>
      <c r="P149" s="504"/>
      <c r="Q149" s="504"/>
    </row>
    <row r="150" spans="2:17" s="29" customFormat="1" ht="15.75">
      <c r="B150" s="422"/>
      <c r="C150" s="422"/>
      <c r="D150" s="422"/>
      <c r="E150" s="422"/>
      <c r="F150" s="422"/>
      <c r="G150" s="422"/>
      <c r="H150" s="524"/>
      <c r="I150" s="524"/>
      <c r="J150" s="524"/>
      <c r="K150" s="524"/>
      <c r="M150" s="503"/>
      <c r="N150" s="504"/>
      <c r="O150" s="504"/>
      <c r="P150" s="504"/>
      <c r="Q150" s="504"/>
    </row>
    <row r="151" spans="2:17" s="29" customFormat="1" ht="15.75">
      <c r="B151" s="236"/>
      <c r="C151" s="236"/>
      <c r="D151" s="236"/>
      <c r="E151" s="236"/>
      <c r="F151" s="236"/>
      <c r="G151" s="236"/>
      <c r="H151" s="524"/>
      <c r="I151" s="524"/>
      <c r="J151" s="524"/>
      <c r="K151" s="524"/>
      <c r="M151" s="503"/>
      <c r="N151" s="504"/>
      <c r="O151" s="504"/>
      <c r="P151" s="504"/>
      <c r="Q151" s="504"/>
    </row>
    <row r="152" spans="2:17" s="423" customFormat="1" ht="15.75">
      <c r="B152" s="236"/>
      <c r="C152" s="236"/>
      <c r="D152" s="236"/>
      <c r="E152" s="236"/>
      <c r="F152" s="236"/>
      <c r="G152" s="236"/>
      <c r="H152" s="1059"/>
      <c r="I152" s="1059"/>
      <c r="J152" s="1059"/>
      <c r="K152" s="1059"/>
      <c r="M152" s="503"/>
      <c r="N152" s="504"/>
      <c r="O152" s="504"/>
      <c r="P152" s="504"/>
      <c r="Q152" s="504"/>
    </row>
    <row r="153" spans="2:17" s="423" customFormat="1" ht="15.75">
      <c r="B153" s="236"/>
      <c r="C153" s="236"/>
      <c r="D153" s="236"/>
      <c r="E153" s="236"/>
      <c r="F153" s="236"/>
      <c r="G153" s="236"/>
      <c r="H153" s="1060"/>
      <c r="I153" s="1060"/>
      <c r="J153" s="1060"/>
      <c r="K153" s="1060"/>
      <c r="M153" s="503"/>
      <c r="N153" s="504"/>
      <c r="O153" s="504"/>
      <c r="P153" s="504"/>
      <c r="Q153" s="504"/>
    </row>
  </sheetData>
  <mergeCells count="165">
    <mergeCell ref="C110:I110"/>
    <mergeCell ref="C55:I55"/>
    <mergeCell ref="B45:K45"/>
    <mergeCell ref="D124:I124"/>
    <mergeCell ref="J124:K125"/>
    <mergeCell ref="D125:I125"/>
    <mergeCell ref="D127:I127"/>
    <mergeCell ref="D129:I129"/>
    <mergeCell ref="D131:I131"/>
    <mergeCell ref="C118:I118"/>
    <mergeCell ref="C119:I119"/>
    <mergeCell ref="C120:I120"/>
    <mergeCell ref="C121:I121"/>
    <mergeCell ref="B122:I122"/>
    <mergeCell ref="D123:K123"/>
    <mergeCell ref="B112:I112"/>
    <mergeCell ref="B113:K113"/>
    <mergeCell ref="C114:I114"/>
    <mergeCell ref="C115:I115"/>
    <mergeCell ref="C116:I116"/>
    <mergeCell ref="C117:K117"/>
    <mergeCell ref="B105:K105"/>
    <mergeCell ref="B106:K106"/>
    <mergeCell ref="C107:J107"/>
    <mergeCell ref="M50:N50"/>
    <mergeCell ref="M52:N52"/>
    <mergeCell ref="M59:N59"/>
    <mergeCell ref="M66:N66"/>
    <mergeCell ref="M61:N61"/>
    <mergeCell ref="C56:I56"/>
    <mergeCell ref="C57:I57"/>
    <mergeCell ref="C58:I58"/>
    <mergeCell ref="C59:I59"/>
    <mergeCell ref="B60:I60"/>
    <mergeCell ref="C61:K61"/>
    <mergeCell ref="C63:J63"/>
    <mergeCell ref="B62:J62"/>
    <mergeCell ref="B50:K50"/>
    <mergeCell ref="B51:I51"/>
    <mergeCell ref="C52:I52"/>
    <mergeCell ref="C53:I53"/>
    <mergeCell ref="C54:I54"/>
    <mergeCell ref="C108:I108"/>
    <mergeCell ref="C109:I109"/>
    <mergeCell ref="C111:I111"/>
    <mergeCell ref="B99:K99"/>
    <mergeCell ref="B100:J100"/>
    <mergeCell ref="C101:J101"/>
    <mergeCell ref="C102:J102"/>
    <mergeCell ref="H152:K152"/>
    <mergeCell ref="H153:K153"/>
    <mergeCell ref="C139:J139"/>
    <mergeCell ref="B140:J140"/>
    <mergeCell ref="C141:J141"/>
    <mergeCell ref="B142:J142"/>
    <mergeCell ref="B143:J143"/>
    <mergeCell ref="B144:J144"/>
    <mergeCell ref="B133:K133"/>
    <mergeCell ref="B134:J134"/>
    <mergeCell ref="C135:J135"/>
    <mergeCell ref="C136:J136"/>
    <mergeCell ref="C137:J137"/>
    <mergeCell ref="C138:J138"/>
    <mergeCell ref="B145:J145"/>
    <mergeCell ref="B146:J146"/>
    <mergeCell ref="B147:J147"/>
    <mergeCell ref="B103:J103"/>
    <mergeCell ref="B104:I104"/>
    <mergeCell ref="C92:I92"/>
    <mergeCell ref="B93:I93"/>
    <mergeCell ref="B94:K94"/>
    <mergeCell ref="B95:J95"/>
    <mergeCell ref="C96:J96"/>
    <mergeCell ref="B97:J97"/>
    <mergeCell ref="B86:I86"/>
    <mergeCell ref="C87:I87"/>
    <mergeCell ref="C88:I88"/>
    <mergeCell ref="C89:I89"/>
    <mergeCell ref="C90:I90"/>
    <mergeCell ref="C91:I91"/>
    <mergeCell ref="C80:I80"/>
    <mergeCell ref="C81:I81"/>
    <mergeCell ref="C82:I82"/>
    <mergeCell ref="B83:I83"/>
    <mergeCell ref="C84:K84"/>
    <mergeCell ref="B85:K85"/>
    <mergeCell ref="C74:J74"/>
    <mergeCell ref="B75:K75"/>
    <mergeCell ref="C76:I76"/>
    <mergeCell ref="C77:I77"/>
    <mergeCell ref="C78:I78"/>
    <mergeCell ref="C79:I79"/>
    <mergeCell ref="C68:K68"/>
    <mergeCell ref="B69:K69"/>
    <mergeCell ref="B70:J70"/>
    <mergeCell ref="C71:J71"/>
    <mergeCell ref="C72:J72"/>
    <mergeCell ref="C73:J73"/>
    <mergeCell ref="B67:J67"/>
    <mergeCell ref="C64:J64"/>
    <mergeCell ref="C65:J65"/>
    <mergeCell ref="B46:I46"/>
    <mergeCell ref="C47:I47"/>
    <mergeCell ref="C48:I48"/>
    <mergeCell ref="B49:I49"/>
    <mergeCell ref="C40:I40"/>
    <mergeCell ref="B41:J41"/>
    <mergeCell ref="B42:J42"/>
    <mergeCell ref="N43:Q43"/>
    <mergeCell ref="C33:I33"/>
    <mergeCell ref="C34:I34"/>
    <mergeCell ref="C35:I35"/>
    <mergeCell ref="C36:I36"/>
    <mergeCell ref="M38:P38"/>
    <mergeCell ref="M44:N44"/>
    <mergeCell ref="M33:P33"/>
    <mergeCell ref="C37:I37"/>
    <mergeCell ref="C38:I38"/>
    <mergeCell ref="B39:J39"/>
    <mergeCell ref="C28:J28"/>
    <mergeCell ref="C29:J29"/>
    <mergeCell ref="C30:K30"/>
    <mergeCell ref="M26:P26"/>
    <mergeCell ref="B31:K31"/>
    <mergeCell ref="C32:I32"/>
    <mergeCell ref="M28:Q28"/>
    <mergeCell ref="M35:Q35"/>
    <mergeCell ref="B22:K22"/>
    <mergeCell ref="B24:K24"/>
    <mergeCell ref="C25:J25"/>
    <mergeCell ref="C26:J26"/>
    <mergeCell ref="C27:J27"/>
    <mergeCell ref="B20:G20"/>
    <mergeCell ref="I20:K20"/>
    <mergeCell ref="M13:P13"/>
    <mergeCell ref="C13:G13"/>
    <mergeCell ref="H13:K13"/>
    <mergeCell ref="C14:G14"/>
    <mergeCell ref="H14:K14"/>
    <mergeCell ref="C15:G15"/>
    <mergeCell ref="H15:K15"/>
    <mergeCell ref="M72:P72"/>
    <mergeCell ref="B1:K1"/>
    <mergeCell ref="M1:Q1"/>
    <mergeCell ref="B2:K2"/>
    <mergeCell ref="M2:Q2"/>
    <mergeCell ref="B3:I3"/>
    <mergeCell ref="M3:Q3"/>
    <mergeCell ref="M4:Q4"/>
    <mergeCell ref="C8:G8"/>
    <mergeCell ref="H8:K8"/>
    <mergeCell ref="H9:K9"/>
    <mergeCell ref="B10:K10"/>
    <mergeCell ref="B11:K11"/>
    <mergeCell ref="C12:G12"/>
    <mergeCell ref="H12:K12"/>
    <mergeCell ref="M15:Q15"/>
    <mergeCell ref="B4:K4"/>
    <mergeCell ref="B5:K5"/>
    <mergeCell ref="H6:K6"/>
    <mergeCell ref="C7:G7"/>
    <mergeCell ref="H7:K7"/>
    <mergeCell ref="B17:K17"/>
    <mergeCell ref="B19:G19"/>
    <mergeCell ref="I19:K19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3" orientation="portrait" r:id="rId1"/>
  <rowBreaks count="1" manualBreakCount="1">
    <brk id="83" min="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B1:R153"/>
  <sheetViews>
    <sheetView view="pageBreakPreview" topLeftCell="B91" zoomScale="91" zoomScaleNormal="55" zoomScaleSheetLayoutView="91" zoomScalePageLayoutView="55" workbookViewId="0">
      <selection activeCell="C111" sqref="C111:K111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31.7109375" style="236" customWidth="1"/>
    <col min="8" max="8" width="23.85546875" style="236" customWidth="1"/>
    <col min="9" max="9" width="9.42578125" style="236" customWidth="1"/>
    <col min="10" max="10" width="8.7109375" style="236" customWidth="1"/>
    <col min="11" max="11" width="18.85546875" style="236" customWidth="1"/>
    <col min="12" max="12" width="16.28515625" style="2" customWidth="1"/>
    <col min="13" max="13" width="32.7109375" style="503" customWidth="1"/>
    <col min="14" max="14" width="11.42578125" style="504" bestFit="1" customWidth="1"/>
    <col min="15" max="15" width="18" style="504" bestFit="1" customWidth="1"/>
    <col min="16" max="16" width="19.140625" style="504" customWidth="1"/>
    <col min="17" max="17" width="18.5703125" style="504" customWidth="1"/>
    <col min="18" max="18" width="15.42578125" style="2" bestFit="1" customWidth="1"/>
    <col min="19" max="16384" width="9.140625" style="2"/>
  </cols>
  <sheetData>
    <row r="1" spans="2:18" s="6" customFormat="1" ht="14.45" customHeight="1">
      <c r="B1" s="987"/>
      <c r="C1" s="987"/>
      <c r="D1" s="987"/>
      <c r="E1" s="987"/>
      <c r="F1" s="987"/>
      <c r="G1" s="987"/>
      <c r="H1" s="987"/>
      <c r="I1" s="987"/>
      <c r="J1" s="987"/>
      <c r="K1" s="987"/>
      <c r="L1" s="5"/>
      <c r="M1" s="1090"/>
      <c r="N1" s="1090"/>
      <c r="O1" s="1090"/>
      <c r="P1" s="1090"/>
      <c r="Q1" s="1090"/>
    </row>
    <row r="2" spans="2:18" s="6" customFormat="1" ht="12.75">
      <c r="B2" s="989" t="s">
        <v>139</v>
      </c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8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/>
      <c r="K3" s="343"/>
      <c r="L3" s="5"/>
      <c r="M3" s="997"/>
      <c r="N3" s="997"/>
      <c r="O3" s="997"/>
      <c r="P3" s="997"/>
      <c r="Q3" s="997"/>
    </row>
    <row r="4" spans="2:18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8" s="6" customFormat="1" ht="12.75">
      <c r="B5" s="1014" t="s">
        <v>373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8" s="6" customFormat="1" ht="12.75">
      <c r="B6" s="552" t="s">
        <v>128</v>
      </c>
      <c r="C6" s="313" t="s">
        <v>129</v>
      </c>
      <c r="D6" s="314"/>
      <c r="E6" s="314"/>
      <c r="F6" s="314"/>
      <c r="G6" s="314"/>
      <c r="H6" s="1015">
        <v>44503</v>
      </c>
      <c r="I6" s="1015"/>
      <c r="J6" s="1015"/>
      <c r="K6" s="1015"/>
      <c r="L6" s="5"/>
      <c r="M6" s="591" t="s">
        <v>356</v>
      </c>
      <c r="N6" s="322">
        <v>4</v>
      </c>
      <c r="O6" s="510">
        <v>20</v>
      </c>
      <c r="P6" s="322">
        <v>0</v>
      </c>
      <c r="Q6" s="592">
        <f t="shared" ref="Q6:Q12" si="0">N6*O6</f>
        <v>80</v>
      </c>
    </row>
    <row r="7" spans="2:18" s="6" customFormat="1" ht="12.75">
      <c r="B7" s="552" t="s">
        <v>8</v>
      </c>
      <c r="C7" s="1001" t="s">
        <v>130</v>
      </c>
      <c r="D7" s="1002"/>
      <c r="E7" s="1002"/>
      <c r="F7" s="1002"/>
      <c r="G7" s="1003"/>
      <c r="H7" s="1015" t="s">
        <v>311</v>
      </c>
      <c r="I7" s="1015"/>
      <c r="J7" s="1015"/>
      <c r="K7" s="1015"/>
      <c r="L7" s="5"/>
      <c r="M7" s="591" t="s">
        <v>357</v>
      </c>
      <c r="N7" s="322">
        <v>4</v>
      </c>
      <c r="O7" s="510">
        <v>15</v>
      </c>
      <c r="P7" s="322">
        <v>0</v>
      </c>
      <c r="Q7" s="592">
        <f t="shared" si="0"/>
        <v>60</v>
      </c>
    </row>
    <row r="8" spans="2:18" s="6" customFormat="1" ht="12.75">
      <c r="B8" s="552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30</v>
      </c>
      <c r="P8" s="322">
        <v>0</v>
      </c>
      <c r="Q8" s="592">
        <f t="shared" si="0"/>
        <v>60</v>
      </c>
    </row>
    <row r="9" spans="2:18" s="6" customFormat="1" ht="12.75">
      <c r="B9" s="552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4</v>
      </c>
      <c r="O9" s="510">
        <v>5</v>
      </c>
      <c r="P9" s="322">
        <v>0</v>
      </c>
      <c r="Q9" s="592">
        <f t="shared" si="0"/>
        <v>20</v>
      </c>
    </row>
    <row r="10" spans="2:18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8</v>
      </c>
      <c r="P10" s="322">
        <v>0</v>
      </c>
      <c r="Q10" s="592">
        <f t="shared" si="0"/>
        <v>16</v>
      </c>
    </row>
    <row r="11" spans="2:18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358</v>
      </c>
      <c r="N11" s="322">
        <v>2</v>
      </c>
      <c r="O11" s="510">
        <v>8</v>
      </c>
      <c r="P11" s="322">
        <v>0</v>
      </c>
      <c r="Q11" s="592">
        <f t="shared" si="0"/>
        <v>16</v>
      </c>
    </row>
    <row r="12" spans="2:18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12 horas noturna 12x36 de segunda a domingo</v>
      </c>
      <c r="I12" s="1010"/>
      <c r="J12" s="1010"/>
      <c r="K12" s="1010"/>
      <c r="L12" s="5"/>
      <c r="M12" s="591" t="s">
        <v>359</v>
      </c>
      <c r="N12" s="322">
        <v>2</v>
      </c>
      <c r="O12" s="510">
        <v>10</v>
      </c>
      <c r="P12" s="322">
        <v>0</v>
      </c>
      <c r="Q12" s="592">
        <f t="shared" si="0"/>
        <v>20</v>
      </c>
      <c r="R12" s="695">
        <f>RESUMO!I32</f>
        <v>1310488.922676519</v>
      </c>
    </row>
    <row r="13" spans="2:18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669">
        <f>SUM(Q6:Q12)/22</f>
        <v>12.363636363636363</v>
      </c>
      <c r="R13" s="6">
        <v>1310488.92</v>
      </c>
    </row>
    <row r="14" spans="2:18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  <c r="R14" s="695">
        <f>R12-R13</f>
        <v>2.6765190996229649E-3</v>
      </c>
    </row>
    <row r="15" spans="2:18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44197</v>
      </c>
      <c r="I15" s="1024"/>
      <c r="J15" s="1024"/>
      <c r="K15" s="1024"/>
      <c r="L15" s="5"/>
      <c r="M15" s="986">
        <v>33</v>
      </c>
      <c r="N15" s="986"/>
      <c r="O15" s="986"/>
      <c r="P15" s="986"/>
      <c r="Q15" s="986"/>
    </row>
    <row r="16" spans="2:18" s="17" customFormat="1" ht="12.75">
      <c r="B16" s="291"/>
      <c r="C16" s="542"/>
      <c r="D16" s="539"/>
      <c r="E16" s="539"/>
      <c r="F16" s="539"/>
      <c r="G16" s="539"/>
      <c r="H16" s="539"/>
      <c r="I16" s="539"/>
      <c r="J16" s="539"/>
      <c r="K16" s="543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361</v>
      </c>
      <c r="N17" s="326">
        <v>10</v>
      </c>
      <c r="O17" s="711">
        <v>90.5</v>
      </c>
      <c r="P17" s="326">
        <v>24</v>
      </c>
      <c r="Q17" s="516">
        <f>(N17*O17)/P17</f>
        <v>37.708333333333336</v>
      </c>
    </row>
    <row r="18" spans="2:17" s="17" customFormat="1" ht="12.75">
      <c r="B18" s="291"/>
      <c r="C18" s="542"/>
      <c r="D18" s="539"/>
      <c r="E18" s="539"/>
      <c r="F18" s="539"/>
      <c r="G18" s="539"/>
      <c r="H18" s="539"/>
      <c r="I18" s="539"/>
      <c r="J18" s="542"/>
      <c r="K18" s="543"/>
      <c r="M18" s="327" t="s">
        <v>362</v>
      </c>
      <c r="N18" s="326">
        <v>4</v>
      </c>
      <c r="O18" s="711">
        <v>8</v>
      </c>
      <c r="P18" s="326">
        <v>12</v>
      </c>
      <c r="Q18" s="515">
        <f>N18*O18/P18</f>
        <v>2.6666666666666665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551" t="s">
        <v>26</v>
      </c>
      <c r="I19" s="1018" t="s">
        <v>347</v>
      </c>
      <c r="J19" s="1018"/>
      <c r="K19" s="1018"/>
      <c r="M19" s="328" t="s">
        <v>363</v>
      </c>
      <c r="N19" s="326">
        <v>22</v>
      </c>
      <c r="O19" s="711">
        <v>10</v>
      </c>
      <c r="P19" s="326">
        <v>12</v>
      </c>
      <c r="Q19" s="515">
        <f t="shared" ref="Q19" si="1">(N19*O19)/P19</f>
        <v>18.333333333333332</v>
      </c>
    </row>
    <row r="20" spans="2:17" s="17" customFormat="1" ht="12.75">
      <c r="B20" s="1019" t="str">
        <f>H12</f>
        <v>Vigilância Armada 12 horas noturna 12x36 de segunda a domingo</v>
      </c>
      <c r="C20" s="1020"/>
      <c r="D20" s="1020"/>
      <c r="E20" s="1020"/>
      <c r="F20" s="1020"/>
      <c r="G20" s="1020"/>
      <c r="H20" s="317" t="s">
        <v>94</v>
      </c>
      <c r="I20" s="1021">
        <v>4</v>
      </c>
      <c r="J20" s="1021"/>
      <c r="K20" s="1021"/>
      <c r="M20" s="328" t="s">
        <v>364</v>
      </c>
      <c r="N20" s="322">
        <v>8</v>
      </c>
      <c r="O20" s="710">
        <v>10</v>
      </c>
      <c r="P20" s="322">
        <v>60</v>
      </c>
      <c r="Q20" s="510">
        <f>(N20*O20)/P20</f>
        <v>1.3333333333333333</v>
      </c>
    </row>
    <row r="21" spans="2:17" s="17" customFormat="1" ht="12.75">
      <c r="B21" s="291"/>
      <c r="C21" s="542"/>
      <c r="D21" s="539"/>
      <c r="E21" s="539"/>
      <c r="F21" s="539"/>
      <c r="G21" s="539"/>
      <c r="H21" s="539"/>
      <c r="I21" s="539"/>
      <c r="J21" s="539"/>
      <c r="K21" s="543"/>
      <c r="M21" s="321" t="s">
        <v>365</v>
      </c>
      <c r="N21" s="322">
        <v>8</v>
      </c>
      <c r="O21" s="710">
        <v>5</v>
      </c>
      <c r="P21" s="322">
        <v>12</v>
      </c>
      <c r="Q21" s="510">
        <f>(N21*O21)/P21</f>
        <v>3.3333333333333335</v>
      </c>
    </row>
    <row r="22" spans="2:17" s="17" customFormat="1" ht="25.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366</v>
      </c>
      <c r="N22" s="322">
        <v>22</v>
      </c>
      <c r="O22" s="710">
        <v>80</v>
      </c>
      <c r="P22" s="322">
        <v>24</v>
      </c>
      <c r="Q22" s="510">
        <f t="shared" ref="Q22:Q25" si="2">(N22*O22)/P22</f>
        <v>73.333333333333329</v>
      </c>
    </row>
    <row r="23" spans="2:17" s="17" customFormat="1" ht="12.75">
      <c r="B23" s="291"/>
      <c r="C23" s="539"/>
      <c r="D23" s="539"/>
      <c r="E23" s="539"/>
      <c r="F23" s="539"/>
      <c r="G23" s="539"/>
      <c r="H23" s="539"/>
      <c r="I23" s="539"/>
      <c r="J23" s="539"/>
      <c r="K23" s="543"/>
      <c r="M23" s="328" t="s">
        <v>367</v>
      </c>
      <c r="N23" s="322">
        <v>4</v>
      </c>
      <c r="O23" s="710">
        <v>80</v>
      </c>
      <c r="P23" s="322">
        <v>60</v>
      </c>
      <c r="Q23" s="510">
        <f>(N23*O23)/P23</f>
        <v>5.333333333333333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M24" s="328" t="s">
        <v>368</v>
      </c>
      <c r="N24" s="322">
        <v>3</v>
      </c>
      <c r="O24" s="710">
        <v>80</v>
      </c>
      <c r="P24" s="322">
        <v>24</v>
      </c>
      <c r="Q24" s="510">
        <f>(N24*O24)/P24</f>
        <v>10</v>
      </c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328" t="s">
        <v>369</v>
      </c>
      <c r="N25" s="322">
        <v>2</v>
      </c>
      <c r="O25" s="710">
        <v>55</v>
      </c>
      <c r="P25" s="322">
        <v>12</v>
      </c>
      <c r="Q25" s="510">
        <f t="shared" si="2"/>
        <v>9.1666666666666661</v>
      </c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986" t="s">
        <v>147</v>
      </c>
      <c r="N26" s="986"/>
      <c r="O26" s="986"/>
      <c r="P26" s="986"/>
      <c r="Q26" s="668">
        <f>(Q17+Q18+Q19+Q20+Q21+Q25+Q22+Q23+Q24)/22</f>
        <v>7.3276515151515156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986" t="s">
        <v>354</v>
      </c>
      <c r="N28" s="986"/>
      <c r="O28" s="986"/>
      <c r="P28" s="986"/>
      <c r="Q28" s="986"/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3" t="s">
        <v>114</v>
      </c>
      <c r="N29" s="324" t="s">
        <v>115</v>
      </c>
      <c r="O29" s="324" t="s">
        <v>116</v>
      </c>
      <c r="P29" s="324" t="s">
        <v>117</v>
      </c>
      <c r="Q29" s="324" t="s">
        <v>97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220</v>
      </c>
      <c r="N30" s="322">
        <v>10</v>
      </c>
      <c r="O30" s="710">
        <v>275</v>
      </c>
      <c r="P30" s="326">
        <v>120</v>
      </c>
      <c r="Q30" s="516">
        <f>(N30*O30)/P30</f>
        <v>22.916666666666668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328" t="s">
        <v>342</v>
      </c>
      <c r="N31" s="322">
        <v>200</v>
      </c>
      <c r="O31" s="710">
        <v>5</v>
      </c>
      <c r="P31" s="326">
        <v>60</v>
      </c>
      <c r="Q31" s="515">
        <f t="shared" ref="Q31:Q32" si="3">N31*O31/P31</f>
        <v>16.666666666666668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545" t="s">
        <v>3</v>
      </c>
      <c r="K32" s="545" t="s">
        <v>1</v>
      </c>
      <c r="M32" s="328" t="s">
        <v>355</v>
      </c>
      <c r="N32" s="322">
        <v>10</v>
      </c>
      <c r="O32" s="710">
        <v>40</v>
      </c>
      <c r="P32" s="326">
        <v>60</v>
      </c>
      <c r="Q32" s="515">
        <f t="shared" si="3"/>
        <v>6.666666666666667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712">
        <f>K27</f>
        <v>1372.86</v>
      </c>
      <c r="L33" s="21"/>
      <c r="M33" s="986">
        <v>47</v>
      </c>
      <c r="N33" s="986"/>
      <c r="O33" s="986"/>
      <c r="P33" s="986"/>
      <c r="Q33" s="668">
        <f>(Q30+Q31+Q32)/22</f>
        <v>2.1022727272727271</v>
      </c>
      <c r="R33" s="131">
        <f>RESUMO!L31</f>
        <v>0</v>
      </c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261">
        <v>0.3</v>
      </c>
      <c r="K34" s="712">
        <f>K33*J34</f>
        <v>411.85799999999995</v>
      </c>
      <c r="L34" s="21"/>
      <c r="R34" s="25">
        <f>RESUMO!L32</f>
        <v>0</v>
      </c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120</v>
      </c>
      <c r="K35" s="712">
        <f>((K33+K34)/192)*0.2*J35</f>
        <v>223.08975000000001</v>
      </c>
      <c r="L35" s="22"/>
      <c r="M35" s="986" t="s">
        <v>370</v>
      </c>
      <c r="N35" s="986"/>
      <c r="O35" s="986"/>
      <c r="P35" s="986"/>
      <c r="Q35" s="986"/>
      <c r="R35" s="131">
        <f>R33-R34</f>
        <v>0</v>
      </c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712">
        <f>((K33+K34+K35)/192)*1.5*15</f>
        <v>235.28997070312499</v>
      </c>
      <c r="L36" s="22"/>
      <c r="M36" s="323" t="s">
        <v>114</v>
      </c>
      <c r="N36" s="324" t="s">
        <v>115</v>
      </c>
      <c r="O36" s="324" t="s">
        <v>116</v>
      </c>
      <c r="P36" s="324" t="s">
        <v>117</v>
      </c>
      <c r="Q36" s="324" t="s">
        <v>97</v>
      </c>
      <c r="R36" s="16"/>
    </row>
    <row r="37" spans="2:18" s="17" customFormat="1" ht="15" hidden="1" customHeight="1">
      <c r="B37" s="238"/>
      <c r="C37" s="243"/>
      <c r="D37" s="1027" t="s">
        <v>111</v>
      </c>
      <c r="E37" s="1027"/>
      <c r="F37" s="1027"/>
      <c r="G37" s="1027"/>
      <c r="H37" s="1027"/>
      <c r="I37" s="1027"/>
      <c r="J37" s="278">
        <v>0</v>
      </c>
      <c r="K37" s="712">
        <f>J37*15</f>
        <v>0</v>
      </c>
      <c r="L37" s="22"/>
      <c r="M37" s="635" t="s">
        <v>371</v>
      </c>
      <c r="N37" s="322">
        <v>1</v>
      </c>
      <c r="O37" s="510">
        <v>1000</v>
      </c>
      <c r="P37" s="326">
        <v>60</v>
      </c>
      <c r="Q37" s="516">
        <f>(N37*O37)/P37</f>
        <v>16.666666666666668</v>
      </c>
    </row>
    <row r="38" spans="2:18" s="17" customFormat="1" ht="15" hidden="1" customHeight="1">
      <c r="B38" s="238"/>
      <c r="C38" s="545"/>
      <c r="D38" s="1027" t="s">
        <v>110</v>
      </c>
      <c r="E38" s="1027"/>
      <c r="F38" s="1027"/>
      <c r="G38" s="1027"/>
      <c r="H38" s="1027"/>
      <c r="I38" s="1027"/>
      <c r="J38" s="278">
        <v>0</v>
      </c>
      <c r="K38" s="712">
        <f>K37/6</f>
        <v>0</v>
      </c>
      <c r="L38" s="22"/>
      <c r="M38" s="986" t="s">
        <v>147</v>
      </c>
      <c r="N38" s="986"/>
      <c r="O38" s="986"/>
      <c r="P38" s="986"/>
      <c r="Q38" s="329">
        <f>Q37</f>
        <v>16.666666666666668</v>
      </c>
    </row>
    <row r="39" spans="2:18" s="17" customFormat="1" ht="15" hidden="1" customHeight="1">
      <c r="B39" s="238"/>
      <c r="C39" s="545"/>
      <c r="D39" s="1027" t="s">
        <v>112</v>
      </c>
      <c r="E39" s="1027"/>
      <c r="F39" s="1027"/>
      <c r="G39" s="1027"/>
      <c r="H39" s="1027"/>
      <c r="I39" s="1027"/>
      <c r="J39" s="279">
        <v>0</v>
      </c>
      <c r="K39" s="712">
        <f>J39*J35</f>
        <v>0</v>
      </c>
      <c r="L39" s="22"/>
      <c r="M39" s="503"/>
      <c r="N39" s="618"/>
      <c r="O39" s="618"/>
      <c r="P39" s="618"/>
      <c r="Q39" s="619"/>
    </row>
    <row r="40" spans="2:18" s="17" customFormat="1" ht="31.5" customHeight="1">
      <c r="B40" s="238" t="s">
        <v>11</v>
      </c>
      <c r="C40" s="1027" t="s">
        <v>67</v>
      </c>
      <c r="D40" s="1027"/>
      <c r="E40" s="1027"/>
      <c r="F40" s="1027"/>
      <c r="G40" s="1027"/>
      <c r="H40" s="1027"/>
      <c r="I40" s="1027"/>
      <c r="J40" s="280"/>
      <c r="K40" s="712">
        <v>235.29</v>
      </c>
      <c r="L40" s="22"/>
      <c r="M40" s="635" t="s">
        <v>371</v>
      </c>
      <c r="N40" s="322">
        <v>1</v>
      </c>
      <c r="O40" s="710">
        <v>100</v>
      </c>
      <c r="P40" s="326">
        <v>60</v>
      </c>
      <c r="Q40" s="516">
        <f>(N40*O40)/P40</f>
        <v>1.6666666666666667</v>
      </c>
    </row>
    <row r="41" spans="2:18" s="17" customFormat="1" ht="12.75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SUM(K33:K39)</f>
        <v>2243.0977207031251</v>
      </c>
      <c r="L41" s="22"/>
      <c r="M41" s="986" t="s">
        <v>147</v>
      </c>
      <c r="N41" s="986"/>
      <c r="O41" s="986"/>
      <c r="P41" s="986"/>
      <c r="Q41" s="668">
        <f>Q40/22</f>
        <v>7.575757575757576E-2</v>
      </c>
      <c r="R41" s="23"/>
    </row>
    <row r="42" spans="2:18" s="17" customForma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SUM(K33:K40)</f>
        <v>2478.3877207031251</v>
      </c>
      <c r="L42" s="22"/>
      <c r="M42" s="503"/>
      <c r="N42" s="504"/>
      <c r="O42" s="504"/>
      <c r="P42" s="504"/>
      <c r="Q42" s="504"/>
    </row>
    <row r="43" spans="2:18" s="17" customFormat="1">
      <c r="B43" s="291"/>
      <c r="C43" s="547"/>
      <c r="D43" s="547"/>
      <c r="E43" s="547"/>
      <c r="F43" s="547"/>
      <c r="G43" s="547"/>
      <c r="H43" s="547"/>
      <c r="I43" s="547"/>
      <c r="J43" s="547"/>
      <c r="K43" s="293"/>
      <c r="L43" s="27"/>
      <c r="M43" s="503"/>
      <c r="N43" s="1035"/>
      <c r="O43" s="1035"/>
      <c r="P43" s="1035"/>
      <c r="Q43" s="1035"/>
    </row>
    <row r="44" spans="2:18" s="17" customFormat="1">
      <c r="B44" s="291"/>
      <c r="C44" s="547"/>
      <c r="D44" s="547"/>
      <c r="E44" s="547"/>
      <c r="F44" s="547"/>
      <c r="G44" s="547"/>
      <c r="H44" s="547"/>
      <c r="I44" s="547"/>
      <c r="J44" s="547"/>
      <c r="K44" s="294"/>
      <c r="L44" s="29"/>
      <c r="M44" s="1036" t="s">
        <v>313</v>
      </c>
      <c r="N44" s="1036"/>
      <c r="O44" s="504"/>
      <c r="P44" s="504"/>
      <c r="Q44" s="457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9"/>
      <c r="M45" s="569" t="s">
        <v>314</v>
      </c>
      <c r="N45" s="570">
        <v>25.5</v>
      </c>
      <c r="O45" s="568"/>
      <c r="P45" s="568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550" t="s">
        <v>3</v>
      </c>
      <c r="K46" s="550" t="s">
        <v>1</v>
      </c>
      <c r="L46" s="29"/>
      <c r="M46" s="569" t="s">
        <v>315</v>
      </c>
      <c r="N46" s="571">
        <v>15</v>
      </c>
      <c r="O46" s="568"/>
      <c r="P46" s="568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9.0899999999999995E-2</v>
      </c>
      <c r="K47" s="274">
        <f>K41*J47</f>
        <v>203.89758281191405</v>
      </c>
      <c r="L47" s="27"/>
      <c r="M47" s="569" t="s">
        <v>316</v>
      </c>
      <c r="N47" s="570">
        <f>N45*N46</f>
        <v>382.5</v>
      </c>
      <c r="O47" s="568"/>
      <c r="P47" s="568"/>
      <c r="Q47" s="504"/>
    </row>
    <row r="48" spans="2:18" s="17" customFormat="1">
      <c r="B48" s="238" t="s">
        <v>8</v>
      </c>
      <c r="C48" s="1027" t="s">
        <v>436</v>
      </c>
      <c r="D48" s="1027"/>
      <c r="E48" s="1027"/>
      <c r="F48" s="1027"/>
      <c r="G48" s="1027"/>
      <c r="H48" s="1027"/>
      <c r="I48" s="1027"/>
      <c r="J48" s="411">
        <v>0.1212</v>
      </c>
      <c r="K48" s="274">
        <f>K41*J48</f>
        <v>271.86344374921879</v>
      </c>
      <c r="L48" s="27"/>
      <c r="M48" s="569" t="s">
        <v>317</v>
      </c>
      <c r="N48" s="570">
        <f>N47*5%</f>
        <v>19.125</v>
      </c>
      <c r="O48" s="572" t="s">
        <v>318</v>
      </c>
      <c r="P48" s="585" t="s">
        <v>316</v>
      </c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0.21210000000000001</v>
      </c>
      <c r="K49" s="521">
        <f>SUM(K47:K48)</f>
        <v>475.76102656113284</v>
      </c>
      <c r="L49" s="27"/>
      <c r="M49" s="573" t="s">
        <v>319</v>
      </c>
      <c r="N49" s="570">
        <f>N47-N48</f>
        <v>363.375</v>
      </c>
      <c r="O49" s="575">
        <v>1</v>
      </c>
      <c r="P49" s="584">
        <f>O49*N49</f>
        <v>363.375</v>
      </c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1066" t="s">
        <v>320</v>
      </c>
      <c r="N50" s="1066"/>
      <c r="O50" s="622"/>
      <c r="P50" s="621"/>
      <c r="Q50" s="504"/>
    </row>
    <row r="51" spans="2:17" s="17" customFormat="1">
      <c r="B51" s="1030" t="s">
        <v>420</v>
      </c>
      <c r="C51" s="1030"/>
      <c r="D51" s="1030"/>
      <c r="E51" s="1030"/>
      <c r="F51" s="1030"/>
      <c r="G51" s="1030"/>
      <c r="H51" s="1030"/>
      <c r="I51" s="1030"/>
      <c r="J51" s="700" t="s">
        <v>3</v>
      </c>
      <c r="K51" s="700" t="s">
        <v>1</v>
      </c>
      <c r="L51" s="27"/>
      <c r="M51" s="620"/>
      <c r="N51" s="621"/>
      <c r="O51" s="622"/>
      <c r="P51" s="621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($K$42+$K$49)*J52</f>
        <v>590.82974945285162</v>
      </c>
      <c r="L52" s="27"/>
      <c r="M52" s="1036" t="s">
        <v>321</v>
      </c>
      <c r="N52" s="1036"/>
      <c r="O52" s="568"/>
      <c r="P52" s="568"/>
      <c r="Q52" s="504"/>
    </row>
    <row r="53" spans="2:17" s="17" customFormat="1" ht="14.25" customHeigh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($K$42+$K$49)*J53</f>
        <v>73.853718681606452</v>
      </c>
      <c r="L53" s="29"/>
      <c r="M53" s="569" t="s">
        <v>322</v>
      </c>
      <c r="N53" s="577">
        <v>3.8</v>
      </c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0.03</v>
      </c>
      <c r="K54" s="273">
        <f t="shared" si="4"/>
        <v>88.624462417927731</v>
      </c>
      <c r="L54" s="29"/>
      <c r="M54" s="569" t="s">
        <v>323</v>
      </c>
      <c r="N54" s="577">
        <v>2</v>
      </c>
      <c r="O54" s="568"/>
      <c r="P54" s="568"/>
      <c r="Q54" s="504"/>
    </row>
    <row r="55" spans="2:17" s="17" customFormat="1" ht="14.25" customHeigh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44.312231208963865</v>
      </c>
      <c r="L55" s="29"/>
      <c r="M55" s="569" t="s">
        <v>324</v>
      </c>
      <c r="N55" s="571">
        <v>15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29.541487472642579</v>
      </c>
      <c r="L56" s="29"/>
      <c r="M56" s="569" t="s">
        <v>325</v>
      </c>
      <c r="N56" s="577">
        <f>(N53*N54)*N55</f>
        <v>114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17.724892483585549</v>
      </c>
      <c r="L57" s="29"/>
      <c r="M57" s="569" t="s">
        <v>326</v>
      </c>
      <c r="N57" s="577">
        <f>K33*6%</f>
        <v>82.371599999999987</v>
      </c>
      <c r="O57" s="572" t="s">
        <v>318</v>
      </c>
      <c r="P57" s="585" t="s">
        <v>316</v>
      </c>
      <c r="Q57" s="504"/>
    </row>
    <row r="58" spans="2:17" s="17" customForma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5.908297494528516</v>
      </c>
      <c r="L58" s="29"/>
      <c r="M58" s="573" t="s">
        <v>319</v>
      </c>
      <c r="N58" s="578">
        <f>N56-N57</f>
        <v>31.628400000000013</v>
      </c>
      <c r="O58" s="575">
        <v>1</v>
      </c>
      <c r="P58" s="584">
        <f>O58*N58</f>
        <v>31.628400000000013</v>
      </c>
      <c r="Q58" s="504"/>
    </row>
    <row r="59" spans="2:17" s="17" customForma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236.33189978114063</v>
      </c>
      <c r="L59" s="29"/>
      <c r="M59" s="1066" t="s">
        <v>327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0.36800000000000005</v>
      </c>
      <c r="K60" s="521">
        <f>TRUNC(SUM(K52:K59),2)</f>
        <v>1087.1199999999999</v>
      </c>
      <c r="L60" s="27"/>
      <c r="M60" s="625"/>
      <c r="N60" s="620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67" t="s">
        <v>328</v>
      </c>
      <c r="N61" s="1067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567" t="s">
        <v>1</v>
      </c>
      <c r="L62" s="29"/>
      <c r="M62" s="569" t="s">
        <v>329</v>
      </c>
      <c r="N62" s="579">
        <v>109.23</v>
      </c>
      <c r="O62" s="568"/>
      <c r="P62" s="568"/>
      <c r="Q62" s="504"/>
    </row>
    <row r="63" spans="2:17" s="17" customFormat="1" ht="13.5" customHeight="1">
      <c r="B63" s="548" t="s">
        <v>7</v>
      </c>
      <c r="C63" s="1091" t="s">
        <v>113</v>
      </c>
      <c r="D63" s="1092"/>
      <c r="E63" s="1092"/>
      <c r="F63" s="1092"/>
      <c r="G63" s="1092"/>
      <c r="H63" s="1092"/>
      <c r="I63" s="1092"/>
      <c r="J63" s="1093"/>
      <c r="K63" s="549">
        <f>P58</f>
        <v>31.628400000000013</v>
      </c>
      <c r="L63" s="29"/>
      <c r="M63" s="569" t="s">
        <v>330</v>
      </c>
      <c r="N63" s="579">
        <v>1</v>
      </c>
      <c r="O63" s="568"/>
      <c r="P63" s="568"/>
      <c r="Q63" s="504"/>
    </row>
    <row r="64" spans="2:17" s="17" customFormat="1" ht="13.5" customHeight="1">
      <c r="B64" s="548" t="s">
        <v>8</v>
      </c>
      <c r="C64" s="1091" t="s">
        <v>173</v>
      </c>
      <c r="D64" s="1092"/>
      <c r="E64" s="1092"/>
      <c r="F64" s="1092"/>
      <c r="G64" s="1092"/>
      <c r="H64" s="1092"/>
      <c r="I64" s="1092"/>
      <c r="J64" s="1093"/>
      <c r="K64" s="271">
        <f>P49</f>
        <v>363.375</v>
      </c>
      <c r="L64" s="27"/>
      <c r="M64" s="569" t="s">
        <v>331</v>
      </c>
      <c r="N64" s="580">
        <v>1</v>
      </c>
      <c r="O64" s="568"/>
      <c r="P64" s="568"/>
      <c r="Q64" s="504"/>
    </row>
    <row r="65" spans="2:18" s="17" customFormat="1" ht="13.5" customHeight="1">
      <c r="B65" s="548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95"/>
      <c r="K65" s="271">
        <f>N65</f>
        <v>108.23</v>
      </c>
      <c r="L65" s="27"/>
      <c r="M65" s="581" t="s">
        <v>332</v>
      </c>
      <c r="N65" s="583">
        <f>(N62-N63)*N64</f>
        <v>108.23</v>
      </c>
      <c r="O65" s="568"/>
      <c r="P65" s="568"/>
      <c r="Q65" s="504"/>
    </row>
    <row r="66" spans="2:18" s="17" customFormat="1" ht="14.25" customHeight="1">
      <c r="B66" s="548" t="s">
        <v>10</v>
      </c>
      <c r="C66" s="563" t="s">
        <v>438</v>
      </c>
      <c r="D66" s="564"/>
      <c r="E66" s="565"/>
      <c r="F66" s="565"/>
      <c r="G66" s="565"/>
      <c r="H66" s="565"/>
      <c r="I66" s="565"/>
      <c r="J66" s="566"/>
      <c r="K66" s="713">
        <v>10</v>
      </c>
      <c r="L66" s="27"/>
      <c r="M66" s="1066" t="s">
        <v>333</v>
      </c>
      <c r="N66" s="1066"/>
      <c r="O66" s="568"/>
      <c r="P66" s="568"/>
      <c r="Q66" s="504"/>
    </row>
    <row r="67" spans="2:18" s="17" customForma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SUM(K63:K65)</f>
        <v>503.23340000000002</v>
      </c>
      <c r="L67" s="29"/>
      <c r="M67" s="623"/>
      <c r="N67" s="626"/>
      <c r="O67" s="624"/>
      <c r="P67" s="624"/>
      <c r="Q67" s="504"/>
    </row>
    <row r="68" spans="2:18" s="17" customForma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9"/>
      <c r="M68" s="1094"/>
      <c r="N68" s="1094"/>
      <c r="O68" s="568"/>
      <c r="P68" s="568"/>
      <c r="Q68" s="504"/>
    </row>
    <row r="69" spans="2:18" s="17" customFormat="1" ht="36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9"/>
      <c r="M69" s="655" t="s">
        <v>421</v>
      </c>
      <c r="N69" s="654" t="s">
        <v>422</v>
      </c>
      <c r="O69" s="320" t="s">
        <v>117</v>
      </c>
      <c r="P69" s="653" t="s">
        <v>423</v>
      </c>
      <c r="Q69" s="590" t="s">
        <v>97</v>
      </c>
    </row>
    <row r="70" spans="2:18" s="17" customFormat="1" ht="12.75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544" t="s">
        <v>1</v>
      </c>
      <c r="L70" s="29"/>
      <c r="M70" s="656" t="s">
        <v>424</v>
      </c>
      <c r="N70" s="575">
        <v>6</v>
      </c>
      <c r="O70" s="322">
        <v>0</v>
      </c>
      <c r="P70" s="657">
        <v>0.79</v>
      </c>
      <c r="Q70" s="592">
        <f>(N70*P70)</f>
        <v>4.74</v>
      </c>
    </row>
    <row r="71" spans="2:18" s="17" customFormat="1" ht="12.75">
      <c r="B71" s="540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475.76102656113284</v>
      </c>
      <c r="L71" s="29"/>
      <c r="M71" s="573" t="s">
        <v>425</v>
      </c>
      <c r="N71" s="575">
        <v>2</v>
      </c>
      <c r="O71" s="322">
        <v>0</v>
      </c>
      <c r="P71" s="657">
        <v>5</v>
      </c>
      <c r="Q71" s="592">
        <f>(N71*P71)</f>
        <v>10</v>
      </c>
    </row>
    <row r="72" spans="2:18" s="17" customFormat="1" ht="12.75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1087.1199999999999</v>
      </c>
      <c r="L72" s="29"/>
      <c r="M72" s="986" t="s">
        <v>443</v>
      </c>
      <c r="N72" s="986"/>
      <c r="O72" s="986"/>
      <c r="P72" s="986"/>
      <c r="Q72" s="668">
        <f>(Q70+Q71)/22</f>
        <v>0.67</v>
      </c>
      <c r="R72" s="131"/>
    </row>
    <row r="73" spans="2:18" s="17" customFormat="1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503.23340000000002</v>
      </c>
      <c r="L73" s="29"/>
      <c r="M73" s="568"/>
      <c r="N73" s="630"/>
      <c r="O73" s="568"/>
      <c r="P73" s="568"/>
      <c r="Q73" s="504"/>
      <c r="R73" s="132"/>
    </row>
    <row r="74" spans="2:18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2066.11</v>
      </c>
      <c r="L74" s="29"/>
      <c r="M74" s="629"/>
      <c r="N74" s="631"/>
      <c r="O74" s="582"/>
      <c r="P74" s="568"/>
      <c r="Q74" s="504"/>
      <c r="R74" s="131"/>
    </row>
    <row r="75" spans="2:18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1094"/>
      <c r="N75" s="1094"/>
      <c r="O75" s="582"/>
      <c r="P75" s="568"/>
      <c r="Q75" s="504"/>
    </row>
    <row r="76" spans="2:18" s="17" customFormat="1">
      <c r="B76" s="545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545" t="s">
        <v>3</v>
      </c>
      <c r="K76" s="545" t="s">
        <v>1</v>
      </c>
      <c r="L76" s="29"/>
      <c r="M76" s="525"/>
      <c r="N76" s="526"/>
      <c r="O76" s="504"/>
      <c r="P76" s="504"/>
      <c r="Q76" s="504"/>
    </row>
    <row r="77" spans="2:18" s="17" customFormat="1">
      <c r="B77" s="545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709">
        <v>4.1999999999999997E-3</v>
      </c>
      <c r="K77" s="246">
        <f>K42*J77</f>
        <v>10.409228426953124</v>
      </c>
      <c r="L77" s="29"/>
      <c r="M77" s="503"/>
      <c r="N77" s="504"/>
      <c r="O77" s="504"/>
      <c r="P77" s="504"/>
      <c r="Q77" s="504"/>
    </row>
    <row r="78" spans="2:18" s="17" customFormat="1">
      <c r="B78" s="545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3.3599999999999998E-4</v>
      </c>
      <c r="K78" s="677">
        <f>K77*J78</f>
        <v>3.4975007514562494E-3</v>
      </c>
      <c r="L78" s="29"/>
      <c r="M78" s="503"/>
      <c r="N78" s="504"/>
      <c r="O78" s="504"/>
      <c r="P78" s="504"/>
      <c r="Q78" s="504"/>
    </row>
    <row r="79" spans="2:18" s="17" customFormat="1">
      <c r="B79" s="545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2.18E-2</v>
      </c>
      <c r="K79" s="242">
        <f>K42*J79</f>
        <v>54.028852311328123</v>
      </c>
      <c r="L79" s="29"/>
      <c r="M79" s="503"/>
      <c r="N79" s="504"/>
      <c r="O79" s="504"/>
      <c r="P79" s="504"/>
      <c r="Q79" s="504"/>
    </row>
    <row r="80" spans="2:18" s="17" customFormat="1">
      <c r="B80" s="545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K42*J80</f>
        <v>48.190872347005211</v>
      </c>
      <c r="L80" s="29"/>
      <c r="M80" s="503"/>
      <c r="N80" s="504"/>
      <c r="O80" s="671"/>
      <c r="P80" s="504"/>
      <c r="Q80" s="504"/>
    </row>
    <row r="81" spans="2:17" s="17" customFormat="1">
      <c r="B81" s="545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7.1555555555555565E-3</v>
      </c>
      <c r="K81" s="242">
        <f>K80*J81</f>
        <v>0.34483246434968179</v>
      </c>
      <c r="L81" s="29"/>
      <c r="M81" s="503"/>
      <c r="N81" s="504"/>
      <c r="O81" s="683"/>
      <c r="P81" s="504"/>
      <c r="Q81" s="504"/>
    </row>
    <row r="82" spans="2:17" s="17" customFormat="1">
      <c r="B82" s="545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2.18E-2</v>
      </c>
      <c r="K82" s="242">
        <f>K42*J82</f>
        <v>54.028852311328123</v>
      </c>
      <c r="L82" s="29"/>
      <c r="M82" s="503"/>
      <c r="N82" s="504"/>
      <c r="O82" s="671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7.4735999999999997E-2</v>
      </c>
      <c r="K83" s="260">
        <f>SUM(K77:K82)</f>
        <v>167.00613536171574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545" t="s">
        <v>3</v>
      </c>
      <c r="K86" s="545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545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v>9.0899999999999995E-2</v>
      </c>
      <c r="K87" s="242">
        <f>$K$42*J87</f>
        <v>225.28544381191406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2">
        <f t="shared" ref="K88:K92" si="5">$K$42*J88</f>
        <v>11.152744743164062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4.0000000000000002E-4</v>
      </c>
      <c r="K89" s="242">
        <f t="shared" si="5"/>
        <v>0.99135508828125007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2.7000000000000001E-3</v>
      </c>
      <c r="K90" s="242">
        <f t="shared" si="5"/>
        <v>6.6916468458984379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0</v>
      </c>
      <c r="K91" s="242">
        <f t="shared" si="5"/>
        <v>0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2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9.849999999999999E-2</v>
      </c>
      <c r="K93" s="260">
        <f>SUM(K87:K92)</f>
        <v>244.1211904892578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544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545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v>0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0</v>
      </c>
      <c r="L97" s="29"/>
      <c r="M97" s="503"/>
      <c r="N97" s="504"/>
      <c r="O97" s="504"/>
      <c r="P97" s="504"/>
      <c r="Q97" s="504"/>
    </row>
    <row r="98" spans="2:17" s="17" customFormat="1">
      <c r="B98" s="541"/>
      <c r="C98" s="542"/>
      <c r="D98" s="542"/>
      <c r="E98" s="542"/>
      <c r="F98" s="542"/>
      <c r="G98" s="542"/>
      <c r="H98" s="542"/>
      <c r="I98" s="542"/>
      <c r="J98" s="542"/>
      <c r="K98" s="543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544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545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244.1211904892578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f>K97</f>
        <v>0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244.12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0.75333600000000001</v>
      </c>
      <c r="K104" s="520">
        <f>K93+K83+K60+K49</f>
        <v>1974.0083524121064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544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544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545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12.363636363636363</v>
      </c>
      <c r="L108" s="29"/>
      <c r="M108" s="503"/>
      <c r="N108" s="504"/>
      <c r="O108" s="504"/>
      <c r="P108" s="504"/>
      <c r="Q108" s="504"/>
    </row>
    <row r="109" spans="2:17" s="17" customFormat="1">
      <c r="B109" s="545" t="s">
        <v>8</v>
      </c>
      <c r="C109" s="1038" t="s">
        <v>426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Q26+Q72</f>
        <v>7.9976515151515155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372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Q33+Q41</f>
        <v>2.1780303030303028</v>
      </c>
      <c r="L110" s="29"/>
      <c r="M110" s="503"/>
      <c r="N110" s="504"/>
      <c r="O110" s="504"/>
      <c r="P110" s="504"/>
      <c r="Q110" s="504"/>
    </row>
    <row r="111" spans="2:17" s="17" customFormat="1">
      <c r="B111" s="250" t="s">
        <v>10</v>
      </c>
      <c r="C111" s="1027"/>
      <c r="D111" s="1027"/>
      <c r="E111" s="1027"/>
      <c r="F111" s="1027"/>
      <c r="G111" s="1027"/>
      <c r="H111" s="1027"/>
      <c r="I111" s="1027"/>
      <c r="J111" s="238"/>
      <c r="K111" s="242"/>
      <c r="L111" s="29"/>
      <c r="M111" s="503"/>
      <c r="N111" s="504"/>
      <c r="O111" s="504"/>
      <c r="P111" s="504"/>
      <c r="Q111" s="504"/>
    </row>
    <row r="112" spans="2:17" s="17" customFormat="1">
      <c r="B112" s="1083" t="s">
        <v>70</v>
      </c>
      <c r="C112" s="1083"/>
      <c r="D112" s="1083"/>
      <c r="E112" s="1083"/>
      <c r="F112" s="1083"/>
      <c r="G112" s="1083"/>
      <c r="H112" s="1083"/>
      <c r="I112" s="1083"/>
      <c r="J112" s="419" t="s">
        <v>0</v>
      </c>
      <c r="K112" s="415">
        <f>TRUNC(SUM(K108:K111),2)</f>
        <v>22.53</v>
      </c>
      <c r="L112" s="29"/>
      <c r="M112" s="503"/>
      <c r="N112" s="504"/>
      <c r="O112" s="504"/>
      <c r="P112" s="504"/>
      <c r="Q112" s="504"/>
    </row>
    <row r="113" spans="2:18" s="17" customFormat="1">
      <c r="B113" s="1084" t="s">
        <v>71</v>
      </c>
      <c r="C113" s="1084"/>
      <c r="D113" s="1084"/>
      <c r="E113" s="1084"/>
      <c r="F113" s="1084"/>
      <c r="G113" s="1084"/>
      <c r="H113" s="1084"/>
      <c r="I113" s="1084"/>
      <c r="J113" s="1084"/>
      <c r="K113" s="1084"/>
      <c r="L113" s="29"/>
      <c r="M113" s="503"/>
      <c r="N113" s="504"/>
      <c r="O113" s="504"/>
      <c r="P113" s="504"/>
      <c r="Q113" s="504"/>
    </row>
    <row r="114" spans="2:18" s="17" customFormat="1" ht="16.5">
      <c r="B114" s="545">
        <v>6</v>
      </c>
      <c r="C114" s="1085" t="s">
        <v>18</v>
      </c>
      <c r="D114" s="1085"/>
      <c r="E114" s="1085"/>
      <c r="F114" s="1085"/>
      <c r="G114" s="1085"/>
      <c r="H114" s="1085"/>
      <c r="I114" s="1085"/>
      <c r="J114" s="545" t="s">
        <v>3</v>
      </c>
      <c r="K114" s="545" t="s">
        <v>1</v>
      </c>
      <c r="L114" s="29"/>
      <c r="M114" s="694"/>
      <c r="N114" s="504"/>
      <c r="O114" s="504"/>
      <c r="P114" s="504"/>
      <c r="Q114" s="504"/>
    </row>
    <row r="115" spans="2:18" s="17" customFormat="1">
      <c r="B115" s="545" t="s">
        <v>7</v>
      </c>
      <c r="C115" s="1044" t="s">
        <v>21</v>
      </c>
      <c r="D115" s="1044"/>
      <c r="E115" s="1044"/>
      <c r="F115" s="1044"/>
      <c r="G115" s="1044"/>
      <c r="H115" s="1044"/>
      <c r="I115" s="1044"/>
      <c r="J115" s="389">
        <v>1.0699999999999999E-2</v>
      </c>
      <c r="K115" s="355">
        <f>TRUNC(J115*K140,2)</f>
        <v>53.26</v>
      </c>
      <c r="M115" s="693"/>
      <c r="N115" s="504"/>
      <c r="O115" s="504"/>
      <c r="P115" s="504"/>
      <c r="Q115" s="504"/>
      <c r="R115" s="128"/>
    </row>
    <row r="116" spans="2:18" s="17" customFormat="1">
      <c r="B116" s="243" t="s">
        <v>8</v>
      </c>
      <c r="C116" s="1044" t="s">
        <v>4</v>
      </c>
      <c r="D116" s="1044"/>
      <c r="E116" s="1044"/>
      <c r="F116" s="1044"/>
      <c r="G116" s="1044"/>
      <c r="H116" s="1044"/>
      <c r="I116" s="1044"/>
      <c r="J116" s="389">
        <v>1.24E-2</v>
      </c>
      <c r="K116" s="355">
        <f>TRUNC(J116*(K115+K140),2)</f>
        <v>62.38</v>
      </c>
      <c r="M116" s="692"/>
      <c r="N116" s="504"/>
      <c r="O116" s="504"/>
      <c r="P116" s="504"/>
      <c r="Q116" s="504"/>
    </row>
    <row r="117" spans="2:18" s="17" customFormat="1">
      <c r="B117" s="534" t="s">
        <v>9</v>
      </c>
      <c r="C117" s="1086" t="s">
        <v>28</v>
      </c>
      <c r="D117" s="1087"/>
      <c r="E117" s="1087"/>
      <c r="F117" s="1087"/>
      <c r="G117" s="1087"/>
      <c r="H117" s="1087"/>
      <c r="I117" s="1087"/>
      <c r="J117" s="1088"/>
      <c r="K117" s="1089"/>
      <c r="L117" s="25"/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82</v>
      </c>
      <c r="D118" s="1044"/>
      <c r="E118" s="1044"/>
      <c r="F118" s="1044"/>
      <c r="G118" s="1044"/>
      <c r="H118" s="1044"/>
      <c r="I118" s="1044"/>
      <c r="J118" s="245">
        <v>6.4999999999999997E-3</v>
      </c>
      <c r="K118" s="426">
        <f>TRUNC(J118*K129,2)</f>
        <v>36.24</v>
      </c>
      <c r="M118" s="503"/>
      <c r="N118" s="504"/>
      <c r="O118" s="504"/>
      <c r="P118" s="504"/>
      <c r="Q118" s="504"/>
    </row>
    <row r="119" spans="2:18" s="17" customFormat="1">
      <c r="B119" s="243" t="s">
        <v>29</v>
      </c>
      <c r="C119" s="1044" t="s">
        <v>77</v>
      </c>
      <c r="D119" s="1044"/>
      <c r="E119" s="1044"/>
      <c r="F119" s="1044"/>
      <c r="G119" s="1044"/>
      <c r="H119" s="1044"/>
      <c r="I119" s="1044"/>
      <c r="J119" s="245">
        <v>0.03</v>
      </c>
      <c r="K119" s="426">
        <f>TRUNC(J119*K129,2)</f>
        <v>167.28</v>
      </c>
      <c r="L119" s="25"/>
      <c r="M119" s="503"/>
      <c r="N119" s="504"/>
      <c r="O119" s="504"/>
      <c r="P119" s="504"/>
      <c r="Q119" s="504"/>
    </row>
    <row r="120" spans="2:18" s="17" customFormat="1">
      <c r="B120" s="243" t="s">
        <v>30</v>
      </c>
      <c r="C120" s="1044" t="s">
        <v>80</v>
      </c>
      <c r="D120" s="1044"/>
      <c r="E120" s="1044"/>
      <c r="F120" s="1044"/>
      <c r="G120" s="1044"/>
      <c r="H120" s="1044"/>
      <c r="I120" s="1044"/>
      <c r="J120" s="247" t="s">
        <v>79</v>
      </c>
      <c r="K120" s="426">
        <v>0</v>
      </c>
      <c r="M120" s="503"/>
      <c r="N120" s="504"/>
      <c r="O120" s="504"/>
      <c r="P120" s="504"/>
      <c r="Q120" s="504"/>
    </row>
    <row r="121" spans="2:18" s="17" customFormat="1">
      <c r="B121" s="243" t="s">
        <v>31</v>
      </c>
      <c r="C121" s="1044" t="s">
        <v>78</v>
      </c>
      <c r="D121" s="1044"/>
      <c r="E121" s="1044"/>
      <c r="F121" s="1044"/>
      <c r="G121" s="1044"/>
      <c r="H121" s="1044"/>
      <c r="I121" s="1044"/>
      <c r="J121" s="245">
        <v>0.05</v>
      </c>
      <c r="K121" s="426">
        <f>TRUNC(J121*K129,2)</f>
        <v>278.8</v>
      </c>
      <c r="M121" s="503"/>
      <c r="N121" s="504"/>
      <c r="O121" s="504"/>
      <c r="P121" s="504"/>
      <c r="Q121" s="504"/>
    </row>
    <row r="122" spans="2:18" s="17" customFormat="1">
      <c r="B122" s="1080" t="s">
        <v>72</v>
      </c>
      <c r="C122" s="1080"/>
      <c r="D122" s="1080"/>
      <c r="E122" s="1080"/>
      <c r="F122" s="1080"/>
      <c r="G122" s="1080"/>
      <c r="H122" s="1080"/>
      <c r="I122" s="1080"/>
      <c r="J122" s="420">
        <f>SUM(J115:J121)</f>
        <v>0.1096</v>
      </c>
      <c r="K122" s="523">
        <f>TRUNC(SUM(K115:K121),2)</f>
        <v>597.96</v>
      </c>
      <c r="M122" s="503"/>
      <c r="N122" s="504"/>
      <c r="O122" s="504"/>
      <c r="P122" s="504"/>
      <c r="Q122" s="504"/>
      <c r="R122" s="127"/>
    </row>
    <row r="123" spans="2:18" s="17" customFormat="1">
      <c r="B123" s="291"/>
      <c r="C123" s="542"/>
      <c r="D123" s="1081"/>
      <c r="E123" s="1081"/>
      <c r="F123" s="1081"/>
      <c r="G123" s="1081"/>
      <c r="H123" s="1081"/>
      <c r="I123" s="1081"/>
      <c r="J123" s="1081"/>
      <c r="K123" s="1082"/>
      <c r="M123" s="503"/>
      <c r="N123" s="504"/>
      <c r="O123" s="504"/>
      <c r="P123" s="504"/>
      <c r="Q123" s="504"/>
    </row>
    <row r="124" spans="2:18" s="17" customFormat="1">
      <c r="B124" s="300" t="s">
        <v>32</v>
      </c>
      <c r="C124" s="301"/>
      <c r="D124" s="1071" t="s">
        <v>33</v>
      </c>
      <c r="E124" s="1071"/>
      <c r="F124" s="1071"/>
      <c r="G124" s="1071"/>
      <c r="H124" s="1071"/>
      <c r="I124" s="1072"/>
      <c r="J124" s="1073">
        <f>TRUNC(J118+J119+J121,4)</f>
        <v>8.6499999999999994E-2</v>
      </c>
      <c r="K124" s="1074"/>
      <c r="M124" s="503"/>
      <c r="N124" s="504"/>
      <c r="O124" s="504"/>
      <c r="P124" s="504"/>
      <c r="Q124" s="504"/>
    </row>
    <row r="125" spans="2:18" s="17" customFormat="1">
      <c r="B125" s="233"/>
      <c r="C125" s="302"/>
      <c r="D125" s="1077">
        <v>100</v>
      </c>
      <c r="E125" s="1078"/>
      <c r="F125" s="1078"/>
      <c r="G125" s="1078"/>
      <c r="H125" s="1078"/>
      <c r="I125" s="1079"/>
      <c r="J125" s="1075"/>
      <c r="K125" s="1076"/>
      <c r="M125" s="503"/>
      <c r="N125" s="504"/>
      <c r="O125" s="504"/>
      <c r="P125" s="504"/>
      <c r="Q125" s="504"/>
    </row>
    <row r="126" spans="2:18" s="17" customFormat="1">
      <c r="B126" s="311"/>
      <c r="C126" s="310"/>
      <c r="D126" s="535"/>
      <c r="E126" s="535"/>
      <c r="F126" s="535"/>
      <c r="G126" s="535"/>
      <c r="H126" s="535"/>
      <c r="I126" s="536"/>
      <c r="J126" s="537"/>
      <c r="K126" s="413"/>
      <c r="M126" s="503"/>
      <c r="N126" s="504"/>
      <c r="O126" s="504"/>
      <c r="P126" s="504"/>
      <c r="Q126" s="504"/>
    </row>
    <row r="127" spans="2:18" s="17" customFormat="1">
      <c r="B127" s="233" t="s">
        <v>34</v>
      </c>
      <c r="C127" s="302"/>
      <c r="D127" s="1078" t="s">
        <v>73</v>
      </c>
      <c r="E127" s="1078"/>
      <c r="F127" s="1078"/>
      <c r="G127" s="1078"/>
      <c r="H127" s="1078"/>
      <c r="I127" s="1079"/>
      <c r="J127" s="538"/>
      <c r="K127" s="429">
        <f>TRUNC(K140+K115+K116,2)</f>
        <v>5093.8</v>
      </c>
      <c r="M127" s="503"/>
      <c r="N127" s="504"/>
      <c r="O127" s="504"/>
      <c r="P127" s="504"/>
      <c r="Q127" s="504"/>
    </row>
    <row r="128" spans="2:18" s="17" customFormat="1">
      <c r="B128" s="300"/>
      <c r="C128" s="301"/>
      <c r="D128" s="535"/>
      <c r="E128" s="535"/>
      <c r="F128" s="535"/>
      <c r="G128" s="535"/>
      <c r="H128" s="535"/>
      <c r="I128" s="536"/>
      <c r="J128" s="537"/>
      <c r="K128" s="414"/>
      <c r="M128" s="503"/>
      <c r="N128" s="504"/>
      <c r="O128" s="504"/>
      <c r="P128" s="504"/>
      <c r="Q128" s="504"/>
    </row>
    <row r="129" spans="2:17" s="17" customFormat="1">
      <c r="B129" s="233" t="s">
        <v>35</v>
      </c>
      <c r="C129" s="302"/>
      <c r="D129" s="1078" t="s">
        <v>36</v>
      </c>
      <c r="E129" s="1078"/>
      <c r="F129" s="1078"/>
      <c r="G129" s="1078"/>
      <c r="H129" s="1078"/>
      <c r="I129" s="1079"/>
      <c r="J129" s="538"/>
      <c r="K129" s="429">
        <f>K127/(1-J124)</f>
        <v>5576.1357416529836</v>
      </c>
      <c r="M129" s="503"/>
      <c r="N129" s="504"/>
      <c r="O129" s="504"/>
      <c r="P129" s="504"/>
      <c r="Q129" s="504"/>
    </row>
    <row r="130" spans="2:17" s="17" customFormat="1">
      <c r="B130" s="546"/>
      <c r="C130" s="301"/>
      <c r="D130" s="535"/>
      <c r="E130" s="535"/>
      <c r="F130" s="535"/>
      <c r="G130" s="535"/>
      <c r="H130" s="535"/>
      <c r="I130" s="536"/>
      <c r="J130" s="537"/>
      <c r="K130" s="414"/>
      <c r="M130" s="503"/>
      <c r="N130" s="504"/>
      <c r="O130" s="504"/>
      <c r="P130" s="504"/>
      <c r="Q130" s="504"/>
    </row>
    <row r="131" spans="2:17" s="17" customFormat="1">
      <c r="B131" s="291"/>
      <c r="C131" s="302"/>
      <c r="D131" s="1078" t="s">
        <v>37</v>
      </c>
      <c r="E131" s="1078"/>
      <c r="F131" s="1078"/>
      <c r="G131" s="1078"/>
      <c r="H131" s="1078"/>
      <c r="I131" s="1079"/>
      <c r="J131" s="538"/>
      <c r="K131" s="429">
        <f>TRUNC(K129-K127,2)</f>
        <v>482.33</v>
      </c>
      <c r="M131" s="503"/>
      <c r="N131" s="504"/>
      <c r="O131" s="504"/>
      <c r="P131" s="504"/>
      <c r="Q131" s="504"/>
    </row>
    <row r="132" spans="2:17" s="17" customFormat="1">
      <c r="B132" s="291"/>
      <c r="C132" s="542"/>
      <c r="D132" s="542"/>
      <c r="E132" s="542"/>
      <c r="F132" s="542"/>
      <c r="G132" s="542"/>
      <c r="H132" s="542"/>
      <c r="I132" s="542"/>
      <c r="J132" s="542"/>
      <c r="K132" s="295"/>
      <c r="M132" s="503"/>
      <c r="N132" s="504"/>
      <c r="O132" s="504"/>
      <c r="P132" s="504"/>
      <c r="Q132" s="504"/>
    </row>
    <row r="133" spans="2:17" s="17" customFormat="1">
      <c r="B133" s="1064" t="s">
        <v>83</v>
      </c>
      <c r="C133" s="1064"/>
      <c r="D133" s="1064"/>
      <c r="E133" s="1064"/>
      <c r="F133" s="1064"/>
      <c r="G133" s="1064"/>
      <c r="H133" s="1064"/>
      <c r="I133" s="1064"/>
      <c r="J133" s="1064"/>
      <c r="K133" s="1064"/>
      <c r="M133" s="503"/>
      <c r="N133" s="504"/>
      <c r="O133" s="504"/>
      <c r="P133" s="504"/>
      <c r="Q133" s="504"/>
    </row>
    <row r="134" spans="2:17" s="17" customFormat="1">
      <c r="B134" s="1065" t="s">
        <v>22</v>
      </c>
      <c r="C134" s="1065"/>
      <c r="D134" s="1065"/>
      <c r="E134" s="1065"/>
      <c r="F134" s="1065"/>
      <c r="G134" s="1065"/>
      <c r="H134" s="1065"/>
      <c r="I134" s="1065"/>
      <c r="J134" s="1065"/>
      <c r="K134" s="534" t="s">
        <v>1</v>
      </c>
      <c r="M134" s="503"/>
      <c r="N134" s="504"/>
      <c r="O134" s="504"/>
      <c r="P134" s="504"/>
      <c r="Q134" s="504"/>
    </row>
    <row r="135" spans="2:17" s="17" customFormat="1">
      <c r="B135" s="238" t="s">
        <v>7</v>
      </c>
      <c r="C135" s="1044" t="str">
        <f>B31</f>
        <v>MÓDULO 1 - COMPOSIÇÃO DA REMUNERAÇÃO</v>
      </c>
      <c r="D135" s="1044"/>
      <c r="E135" s="1044"/>
      <c r="F135" s="1044"/>
      <c r="G135" s="1044"/>
      <c r="H135" s="1044"/>
      <c r="I135" s="1044"/>
      <c r="J135" s="1044"/>
      <c r="K135" s="355">
        <f>K42</f>
        <v>2478.3877207031251</v>
      </c>
      <c r="M135" s="595"/>
      <c r="N135" s="504"/>
      <c r="O135" s="504"/>
      <c r="P135" s="504"/>
      <c r="Q135" s="504"/>
    </row>
    <row r="136" spans="2:17" s="17" customFormat="1">
      <c r="B136" s="240" t="s">
        <v>8</v>
      </c>
      <c r="C136" s="1044" t="str">
        <f>B45</f>
        <v>MÓDULO 2 – ENCARGOS E BENEFÍCIOS ANUAIS, MENSAIS E DIÁRIOS</v>
      </c>
      <c r="D136" s="1044"/>
      <c r="E136" s="1044"/>
      <c r="F136" s="1044"/>
      <c r="G136" s="1044"/>
      <c r="H136" s="1044"/>
      <c r="I136" s="1044"/>
      <c r="J136" s="1044"/>
      <c r="K136" s="426">
        <f>K74</f>
        <v>2066.11</v>
      </c>
      <c r="M136" s="595"/>
      <c r="N136" s="504"/>
      <c r="O136" s="504"/>
      <c r="P136" s="504"/>
      <c r="Q136" s="504"/>
    </row>
    <row r="137" spans="2:17" s="17" customFormat="1">
      <c r="B137" s="240" t="s">
        <v>9</v>
      </c>
      <c r="C137" s="1044" t="str">
        <f>B75</f>
        <v>MÓDULO 3 – PROVISÃO PARA RESCISÃO</v>
      </c>
      <c r="D137" s="1044"/>
      <c r="E137" s="1044"/>
      <c r="F137" s="1044"/>
      <c r="G137" s="1044"/>
      <c r="H137" s="1044"/>
      <c r="I137" s="1044"/>
      <c r="J137" s="1044"/>
      <c r="K137" s="426">
        <f>K83</f>
        <v>167.00613536171574</v>
      </c>
      <c r="M137" s="595"/>
      <c r="N137" s="504"/>
      <c r="O137" s="504"/>
      <c r="P137" s="504"/>
      <c r="Q137" s="504"/>
    </row>
    <row r="138" spans="2:17" s="17" customFormat="1">
      <c r="B138" s="238" t="s">
        <v>10</v>
      </c>
      <c r="C138" s="1044" t="str">
        <f>B85</f>
        <v>MÓDULO 4 – CUSTO DE REPOSIÇÃO DO PROFISSIONAL AUSENTE</v>
      </c>
      <c r="D138" s="1044"/>
      <c r="E138" s="1044"/>
      <c r="F138" s="1044"/>
      <c r="G138" s="1044"/>
      <c r="H138" s="1044"/>
      <c r="I138" s="1044"/>
      <c r="J138" s="1044"/>
      <c r="K138" s="426">
        <f>K103</f>
        <v>244.12</v>
      </c>
      <c r="M138" s="595"/>
      <c r="N138" s="504"/>
      <c r="O138" s="504"/>
      <c r="P138" s="504"/>
      <c r="Q138" s="504"/>
    </row>
    <row r="139" spans="2:17" s="17" customFormat="1" ht="15.75" thickBot="1">
      <c r="B139" s="424" t="s">
        <v>11</v>
      </c>
      <c r="C139" s="1061" t="str">
        <f>B106</f>
        <v>MÓDULO 5 – INSUMOS DIVERSOS</v>
      </c>
      <c r="D139" s="1061"/>
      <c r="E139" s="1061"/>
      <c r="F139" s="1061"/>
      <c r="G139" s="1061"/>
      <c r="H139" s="1061"/>
      <c r="I139" s="1061"/>
      <c r="J139" s="1061"/>
      <c r="K139" s="427">
        <f>K112</f>
        <v>22.53</v>
      </c>
      <c r="M139" s="595"/>
      <c r="N139" s="504"/>
      <c r="O139" s="504"/>
      <c r="P139" s="504"/>
      <c r="Q139" s="504"/>
    </row>
    <row r="140" spans="2:17" s="17" customFormat="1">
      <c r="B140" s="1062" t="s">
        <v>74</v>
      </c>
      <c r="C140" s="1063"/>
      <c r="D140" s="1063"/>
      <c r="E140" s="1063"/>
      <c r="F140" s="1063"/>
      <c r="G140" s="1063"/>
      <c r="H140" s="1063"/>
      <c r="I140" s="1063"/>
      <c r="J140" s="1063"/>
      <c r="K140" s="430">
        <f>TRUNC(SUM(K135:K139),2)+0.01</f>
        <v>4978.16</v>
      </c>
      <c r="M140" s="595"/>
      <c r="N140" s="504"/>
      <c r="O140" s="504"/>
      <c r="P140" s="504"/>
      <c r="Q140" s="504"/>
    </row>
    <row r="141" spans="2:17" s="17" customFormat="1">
      <c r="B141" s="425" t="s">
        <v>13</v>
      </c>
      <c r="C141" s="1061" t="str">
        <f>B113</f>
        <v>MÓDULO 6 – CUSTOS INDIRETOS, TRIBUTOS E LUCRO</v>
      </c>
      <c r="D141" s="1061"/>
      <c r="E141" s="1061"/>
      <c r="F141" s="1061"/>
      <c r="G141" s="1061"/>
      <c r="H141" s="1061"/>
      <c r="I141" s="1061"/>
      <c r="J141" s="1061"/>
      <c r="K141" s="428">
        <f>K122</f>
        <v>597.96</v>
      </c>
      <c r="M141" s="596"/>
      <c r="N141" s="504"/>
      <c r="O141" s="504"/>
      <c r="P141" s="504"/>
      <c r="Q141" s="504"/>
    </row>
    <row r="142" spans="2:17" s="17" customFormat="1">
      <c r="B142" s="1064" t="s">
        <v>75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f>(K140+K116+K115)/(1-J124)</f>
        <v>5576.1357416529836</v>
      </c>
      <c r="L142" s="16"/>
      <c r="M142" s="595"/>
      <c r="N142" s="504"/>
      <c r="O142" s="504"/>
      <c r="P142" s="504"/>
      <c r="Q142" s="504"/>
    </row>
    <row r="143" spans="2:17" s="17" customFormat="1">
      <c r="B143" s="1064" t="s">
        <v>100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v>2</v>
      </c>
      <c r="M143" s="503"/>
      <c r="N143" s="504"/>
      <c r="O143" s="504"/>
      <c r="P143" s="504"/>
      <c r="Q143" s="504"/>
    </row>
    <row r="144" spans="2:17" s="17" customFormat="1">
      <c r="B144" s="1064" t="s">
        <v>143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f>K142*K143</f>
        <v>11152.271483305967</v>
      </c>
      <c r="L144" s="132"/>
      <c r="M144" s="595"/>
      <c r="N144" s="671"/>
      <c r="O144" s="504"/>
      <c r="P144" s="504"/>
      <c r="Q144" s="504"/>
    </row>
    <row r="145" spans="2:17" s="29" customFormat="1">
      <c r="B145" s="1064" t="s">
        <v>122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v>4</v>
      </c>
      <c r="L145" s="27"/>
      <c r="M145" s="503"/>
      <c r="N145" s="671"/>
      <c r="O145" s="504"/>
      <c r="P145" s="504"/>
      <c r="Q145" s="504"/>
    </row>
    <row r="146" spans="2:17" s="29" customFormat="1" ht="15" customHeight="1">
      <c r="B146" s="1064" t="s">
        <v>144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K144*K145</f>
        <v>44609.085933223869</v>
      </c>
      <c r="L146" s="27"/>
      <c r="M146" s="595"/>
      <c r="N146" s="504"/>
      <c r="O146" s="504"/>
      <c r="P146" s="504"/>
      <c r="Q146" s="504"/>
    </row>
    <row r="147" spans="2:17" s="29" customFormat="1">
      <c r="B147" s="1064" t="s">
        <v>145</v>
      </c>
      <c r="C147" s="1064"/>
      <c r="D147" s="1064"/>
      <c r="E147" s="1064"/>
      <c r="F147" s="1064"/>
      <c r="G147" s="1064"/>
      <c r="H147" s="1064"/>
      <c r="I147" s="1064"/>
      <c r="J147" s="1064"/>
      <c r="K147" s="347">
        <f>K146*12</f>
        <v>535309.03119868645</v>
      </c>
      <c r="M147" s="503"/>
      <c r="N147" s="504"/>
      <c r="O147" s="504"/>
      <c r="P147" s="504"/>
      <c r="Q147" s="504"/>
    </row>
    <row r="148" spans="2:17" s="29" customFormat="1">
      <c r="B148" s="234"/>
      <c r="C148" s="421"/>
      <c r="D148" s="421"/>
      <c r="E148" s="421"/>
      <c r="F148" s="421"/>
      <c r="G148" s="421"/>
      <c r="H148" s="421"/>
      <c r="I148" s="421"/>
      <c r="J148" s="421"/>
      <c r="K148" s="421" t="s">
        <v>352</v>
      </c>
      <c r="M148" s="595"/>
      <c r="N148" s="504"/>
      <c r="O148" s="504"/>
      <c r="P148" s="504"/>
      <c r="Q148" s="504"/>
    </row>
    <row r="149" spans="2:17" s="423" customFormat="1" ht="15.75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s="423" customFormat="1" ht="15.75">
      <c r="B150" s="422"/>
      <c r="C150" s="422"/>
      <c r="D150" s="422"/>
      <c r="E150" s="422"/>
      <c r="F150" s="422"/>
      <c r="G150" s="422"/>
      <c r="H150" s="533"/>
      <c r="I150" s="533"/>
      <c r="J150" s="533"/>
      <c r="K150" s="533"/>
      <c r="M150" s="503"/>
      <c r="N150" s="504"/>
      <c r="O150" s="504"/>
      <c r="P150" s="504"/>
      <c r="Q150" s="504"/>
    </row>
    <row r="151" spans="2:17" ht="15.75">
      <c r="H151" s="533"/>
      <c r="I151" s="533"/>
      <c r="J151" s="533"/>
      <c r="K151" s="533"/>
    </row>
    <row r="152" spans="2:17" ht="15.75">
      <c r="H152" s="1059"/>
      <c r="I152" s="1059"/>
      <c r="J152" s="1059"/>
      <c r="K152" s="1059"/>
    </row>
    <row r="153" spans="2:17" ht="15.75">
      <c r="H153" s="1060"/>
      <c r="I153" s="1060"/>
      <c r="J153" s="1060"/>
      <c r="K153" s="1060"/>
    </row>
  </sheetData>
  <mergeCells count="168">
    <mergeCell ref="M26:P26"/>
    <mergeCell ref="M28:Q28"/>
    <mergeCell ref="M33:P33"/>
    <mergeCell ref="M35:Q35"/>
    <mergeCell ref="M38:P38"/>
    <mergeCell ref="M44:N44"/>
    <mergeCell ref="M50:N50"/>
    <mergeCell ref="M52:N52"/>
    <mergeCell ref="M66:N66"/>
    <mergeCell ref="M41:P41"/>
    <mergeCell ref="H152:K152"/>
    <mergeCell ref="H153:K153"/>
    <mergeCell ref="M4:Q4"/>
    <mergeCell ref="M13:P13"/>
    <mergeCell ref="M15:Q15"/>
    <mergeCell ref="B142:J142"/>
    <mergeCell ref="B143:J143"/>
    <mergeCell ref="B144:J144"/>
    <mergeCell ref="B145:J145"/>
    <mergeCell ref="B146:J146"/>
    <mergeCell ref="B147:J147"/>
    <mergeCell ref="C136:J136"/>
    <mergeCell ref="C137:J137"/>
    <mergeCell ref="C138:J138"/>
    <mergeCell ref="C139:J139"/>
    <mergeCell ref="B140:J140"/>
    <mergeCell ref="C141:J141"/>
    <mergeCell ref="D127:I127"/>
    <mergeCell ref="D129:I129"/>
    <mergeCell ref="D131:I131"/>
    <mergeCell ref="B133:K133"/>
    <mergeCell ref="B134:J134"/>
    <mergeCell ref="C135:J135"/>
    <mergeCell ref="C120:I120"/>
    <mergeCell ref="C121:I121"/>
    <mergeCell ref="B122:I122"/>
    <mergeCell ref="D123:K123"/>
    <mergeCell ref="D124:I124"/>
    <mergeCell ref="J124:K125"/>
    <mergeCell ref="D125:I125"/>
    <mergeCell ref="C114:I114"/>
    <mergeCell ref="C115:I115"/>
    <mergeCell ref="C116:I116"/>
    <mergeCell ref="C117:K117"/>
    <mergeCell ref="C118:I118"/>
    <mergeCell ref="C119:I119"/>
    <mergeCell ref="C107:J107"/>
    <mergeCell ref="C108:I108"/>
    <mergeCell ref="C109:I109"/>
    <mergeCell ref="C111:I111"/>
    <mergeCell ref="B112:I112"/>
    <mergeCell ref="B113:K113"/>
    <mergeCell ref="C101:J101"/>
    <mergeCell ref="C102:J102"/>
    <mergeCell ref="B103:J103"/>
    <mergeCell ref="B104:I104"/>
    <mergeCell ref="B105:K105"/>
    <mergeCell ref="B106:K106"/>
    <mergeCell ref="C110:I110"/>
    <mergeCell ref="B94:K94"/>
    <mergeCell ref="B95:J95"/>
    <mergeCell ref="C96:J96"/>
    <mergeCell ref="B97:J97"/>
    <mergeCell ref="B99:K99"/>
    <mergeCell ref="B100:J100"/>
    <mergeCell ref="C88:I88"/>
    <mergeCell ref="C89:I89"/>
    <mergeCell ref="C90:I90"/>
    <mergeCell ref="C91:I91"/>
    <mergeCell ref="C92:I92"/>
    <mergeCell ref="B93:I93"/>
    <mergeCell ref="C82:I82"/>
    <mergeCell ref="B83:I83"/>
    <mergeCell ref="C84:K84"/>
    <mergeCell ref="B85:K85"/>
    <mergeCell ref="B86:I86"/>
    <mergeCell ref="C87:I87"/>
    <mergeCell ref="C76:I76"/>
    <mergeCell ref="C77:I77"/>
    <mergeCell ref="C78:I78"/>
    <mergeCell ref="C79:I79"/>
    <mergeCell ref="C80:I80"/>
    <mergeCell ref="C81:I81"/>
    <mergeCell ref="C71:J71"/>
    <mergeCell ref="C72:J72"/>
    <mergeCell ref="C73:J73"/>
    <mergeCell ref="C74:J74"/>
    <mergeCell ref="B75:K75"/>
    <mergeCell ref="M75:N75"/>
    <mergeCell ref="C65:J65"/>
    <mergeCell ref="B67:J67"/>
    <mergeCell ref="C68:K68"/>
    <mergeCell ref="M68:N68"/>
    <mergeCell ref="B69:K69"/>
    <mergeCell ref="B70:J70"/>
    <mergeCell ref="M72:P72"/>
    <mergeCell ref="B60:I60"/>
    <mergeCell ref="C61:K61"/>
    <mergeCell ref="M61:N61"/>
    <mergeCell ref="B62:J62"/>
    <mergeCell ref="C63:J63"/>
    <mergeCell ref="C64:J64"/>
    <mergeCell ref="C55:I55"/>
    <mergeCell ref="C56:I56"/>
    <mergeCell ref="C57:I57"/>
    <mergeCell ref="C58:I58"/>
    <mergeCell ref="C59:I59"/>
    <mergeCell ref="M59:N59"/>
    <mergeCell ref="B50:K50"/>
    <mergeCell ref="B51:I51"/>
    <mergeCell ref="C52:I52"/>
    <mergeCell ref="C53:I53"/>
    <mergeCell ref="C54:I54"/>
    <mergeCell ref="N43:Q43"/>
    <mergeCell ref="B45:K45"/>
    <mergeCell ref="B46:I46"/>
    <mergeCell ref="C47:I47"/>
    <mergeCell ref="C48:I48"/>
    <mergeCell ref="B49:I49"/>
    <mergeCell ref="D38:I38"/>
    <mergeCell ref="D39:I39"/>
    <mergeCell ref="C40:I40"/>
    <mergeCell ref="B41:J41"/>
    <mergeCell ref="B42:J42"/>
    <mergeCell ref="C33:I33"/>
    <mergeCell ref="C34:I34"/>
    <mergeCell ref="C35:I35"/>
    <mergeCell ref="C36:I36"/>
    <mergeCell ref="D37:I37"/>
    <mergeCell ref="C28:J28"/>
    <mergeCell ref="C29:J29"/>
    <mergeCell ref="C30:K30"/>
    <mergeCell ref="B31:K31"/>
    <mergeCell ref="C32:I32"/>
    <mergeCell ref="B22:K22"/>
    <mergeCell ref="B24:K24"/>
    <mergeCell ref="C25:J25"/>
    <mergeCell ref="C26:J26"/>
    <mergeCell ref="C27:J27"/>
    <mergeCell ref="B17:K17"/>
    <mergeCell ref="B19:G19"/>
    <mergeCell ref="I19:K19"/>
    <mergeCell ref="B20:G20"/>
    <mergeCell ref="I20:K20"/>
    <mergeCell ref="C13:G13"/>
    <mergeCell ref="H13:K13"/>
    <mergeCell ref="C14:G14"/>
    <mergeCell ref="H14:K14"/>
    <mergeCell ref="C15:G15"/>
    <mergeCell ref="H15:K15"/>
    <mergeCell ref="B10:K10"/>
    <mergeCell ref="B11:K11"/>
    <mergeCell ref="C12:G12"/>
    <mergeCell ref="H12:K12"/>
    <mergeCell ref="B4:K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  <mergeCell ref="C8:G8"/>
    <mergeCell ref="H8:K8"/>
    <mergeCell ref="H9:K9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2" orientation="portrait" r:id="rId1"/>
  <rowBreaks count="1" manualBreakCount="1">
    <brk id="83" min="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B1:R153"/>
  <sheetViews>
    <sheetView view="pageBreakPreview" topLeftCell="A94" zoomScaleNormal="55" zoomScaleSheetLayoutView="100" workbookViewId="0">
      <selection activeCell="C111" sqref="C111:K111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31.140625" style="236" customWidth="1"/>
    <col min="8" max="8" width="22" style="236" customWidth="1"/>
    <col min="9" max="9" width="7.7109375" style="236" customWidth="1"/>
    <col min="10" max="10" width="13.140625" style="236" customWidth="1"/>
    <col min="11" max="11" width="17.5703125" style="236" customWidth="1"/>
    <col min="12" max="12" width="13.7109375" style="2" bestFit="1" customWidth="1"/>
    <col min="13" max="13" width="40.85546875" style="503" customWidth="1"/>
    <col min="14" max="14" width="13.85546875" style="504" customWidth="1"/>
    <col min="15" max="15" width="18" style="504" bestFit="1" customWidth="1"/>
    <col min="16" max="16" width="21.42578125" style="504" customWidth="1"/>
    <col min="17" max="17" width="18.5703125" style="504" customWidth="1"/>
    <col min="18" max="18" width="9.5703125" style="2" bestFit="1" customWidth="1"/>
    <col min="19" max="16384" width="9.140625" style="2"/>
  </cols>
  <sheetData>
    <row r="1" spans="2:17" s="6" customFormat="1" ht="14.45" customHeight="1">
      <c r="B1" s="987"/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/>
      <c r="N1" s="988"/>
      <c r="O1" s="988"/>
      <c r="P1" s="988"/>
      <c r="Q1" s="988"/>
    </row>
    <row r="2" spans="2:17" s="6" customFormat="1" ht="12.75">
      <c r="B2" s="989"/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7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/>
      <c r="K3" s="343"/>
      <c r="L3" s="5"/>
      <c r="M3" s="997"/>
      <c r="N3" s="997"/>
      <c r="O3" s="997"/>
      <c r="P3" s="997"/>
      <c r="Q3" s="997"/>
    </row>
    <row r="4" spans="2:17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7" s="6" customFormat="1" ht="17.25" customHeight="1">
      <c r="B5" s="1014" t="s">
        <v>374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7" s="6" customFormat="1" ht="12.75">
      <c r="B6" s="614" t="s">
        <v>128</v>
      </c>
      <c r="C6" s="313" t="s">
        <v>129</v>
      </c>
      <c r="D6" s="314"/>
      <c r="E6" s="314"/>
      <c r="F6" s="314"/>
      <c r="G6" s="314"/>
      <c r="H6" s="1015">
        <v>44503</v>
      </c>
      <c r="I6" s="1015"/>
      <c r="J6" s="1015"/>
      <c r="K6" s="1015"/>
      <c r="L6" s="5"/>
      <c r="M6" s="591" t="s">
        <v>356</v>
      </c>
      <c r="N6" s="322">
        <v>4</v>
      </c>
      <c r="O6" s="510">
        <v>20</v>
      </c>
      <c r="P6" s="322">
        <v>0</v>
      </c>
      <c r="Q6" s="592">
        <f>(N6*O6)</f>
        <v>80</v>
      </c>
    </row>
    <row r="7" spans="2:17" s="6" customFormat="1" ht="12.75">
      <c r="B7" s="614" t="s">
        <v>8</v>
      </c>
      <c r="C7" s="1001" t="s">
        <v>130</v>
      </c>
      <c r="D7" s="1002"/>
      <c r="E7" s="1002"/>
      <c r="F7" s="1002"/>
      <c r="G7" s="1003"/>
      <c r="H7" s="1015" t="s">
        <v>311</v>
      </c>
      <c r="I7" s="1015"/>
      <c r="J7" s="1015"/>
      <c r="K7" s="1015"/>
      <c r="L7" s="5"/>
      <c r="M7" s="591" t="s">
        <v>357</v>
      </c>
      <c r="N7" s="322">
        <v>4</v>
      </c>
      <c r="O7" s="510">
        <v>15</v>
      </c>
      <c r="P7" s="322">
        <v>0</v>
      </c>
      <c r="Q7" s="592">
        <f>(N7*O7)</f>
        <v>60</v>
      </c>
    </row>
    <row r="8" spans="2:17" s="6" customFormat="1" ht="12.75">
      <c r="B8" s="614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50</v>
      </c>
      <c r="P8" s="322">
        <v>0</v>
      </c>
      <c r="Q8" s="592">
        <f>N8*O8</f>
        <v>100</v>
      </c>
    </row>
    <row r="9" spans="2:17" s="6" customFormat="1" ht="12.75">
      <c r="B9" s="614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4</v>
      </c>
      <c r="O9" s="510">
        <v>5</v>
      </c>
      <c r="P9" s="322">
        <v>0</v>
      </c>
      <c r="Q9" s="592">
        <f>N9*O9</f>
        <v>20</v>
      </c>
    </row>
    <row r="10" spans="2:17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10</v>
      </c>
      <c r="P10" s="322">
        <v>0</v>
      </c>
      <c r="Q10" s="592">
        <f>N10*O10</f>
        <v>20</v>
      </c>
    </row>
    <row r="11" spans="2:17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358</v>
      </c>
      <c r="N11" s="322">
        <v>2</v>
      </c>
      <c r="O11" s="510">
        <v>8</v>
      </c>
      <c r="P11" s="322">
        <v>0</v>
      </c>
      <c r="Q11" s="592">
        <f>N11*O11</f>
        <v>16</v>
      </c>
    </row>
    <row r="12" spans="2:17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44H SEMANAIS</v>
      </c>
      <c r="I12" s="1010"/>
      <c r="J12" s="1010"/>
      <c r="K12" s="1010"/>
      <c r="L12" s="5"/>
      <c r="M12" s="591" t="s">
        <v>359</v>
      </c>
      <c r="N12" s="322">
        <v>2</v>
      </c>
      <c r="O12" s="510">
        <v>10</v>
      </c>
      <c r="P12" s="322">
        <v>0</v>
      </c>
      <c r="Q12" s="592">
        <f>N12*O12</f>
        <v>20</v>
      </c>
    </row>
    <row r="13" spans="2:17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136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682">
        <f>SUM(Q6:Q12)/33</f>
        <v>9.5757575757575761</v>
      </c>
    </row>
    <row r="14" spans="2:17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7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43831</v>
      </c>
      <c r="I15" s="1024"/>
      <c r="J15" s="1024"/>
      <c r="K15" s="1024"/>
      <c r="L15" s="5"/>
      <c r="M15" s="986" t="s">
        <v>360</v>
      </c>
      <c r="N15" s="986"/>
      <c r="O15" s="986"/>
      <c r="P15" s="986"/>
      <c r="Q15" s="986"/>
    </row>
    <row r="16" spans="2:17" s="17" customFormat="1" ht="12.75">
      <c r="B16" s="291"/>
      <c r="C16" s="606"/>
      <c r="D16" s="602"/>
      <c r="E16" s="602"/>
      <c r="F16" s="602"/>
      <c r="G16" s="602"/>
      <c r="H16" s="602"/>
      <c r="I16" s="602"/>
      <c r="J16" s="602"/>
      <c r="K16" s="607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7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361</v>
      </c>
      <c r="N17" s="326">
        <v>10</v>
      </c>
      <c r="O17" s="515">
        <v>210</v>
      </c>
      <c r="P17" s="326">
        <v>24</v>
      </c>
      <c r="Q17" s="516">
        <f>(N17*O17)/P17</f>
        <v>87.5</v>
      </c>
    </row>
    <row r="18" spans="2:17" s="17" customFormat="1" ht="12.75">
      <c r="B18" s="291"/>
      <c r="C18" s="606"/>
      <c r="D18" s="602"/>
      <c r="E18" s="602"/>
      <c r="F18" s="602"/>
      <c r="G18" s="602"/>
      <c r="H18" s="602"/>
      <c r="I18" s="602"/>
      <c r="J18" s="606"/>
      <c r="K18" s="607"/>
      <c r="M18" s="327" t="s">
        <v>362</v>
      </c>
      <c r="N18" s="326">
        <v>4</v>
      </c>
      <c r="O18" s="515">
        <v>10</v>
      </c>
      <c r="P18" s="326">
        <v>12</v>
      </c>
      <c r="Q18" s="515">
        <f>N18*O18/P18</f>
        <v>3.3333333333333335</v>
      </c>
    </row>
    <row r="19" spans="2:17" s="17" customFormat="1" ht="12.75">
      <c r="B19" s="1017" t="s">
        <v>25</v>
      </c>
      <c r="C19" s="1017"/>
      <c r="D19" s="1017"/>
      <c r="E19" s="1017"/>
      <c r="F19" s="1017"/>
      <c r="G19" s="1017"/>
      <c r="H19" s="613" t="s">
        <v>26</v>
      </c>
      <c r="I19" s="1018" t="s">
        <v>336</v>
      </c>
      <c r="J19" s="1018"/>
      <c r="K19" s="1018"/>
      <c r="M19" s="328" t="s">
        <v>363</v>
      </c>
      <c r="N19" s="326">
        <v>22</v>
      </c>
      <c r="O19" s="515">
        <v>10</v>
      </c>
      <c r="P19" s="326">
        <v>12</v>
      </c>
      <c r="Q19" s="515">
        <f t="shared" ref="Q19" si="0">(N19*O19)/P19</f>
        <v>18.333333333333332</v>
      </c>
    </row>
    <row r="20" spans="2:17" s="17" customFormat="1" ht="12.75">
      <c r="B20" s="1019" t="str">
        <f>H12</f>
        <v>Vigilância Armada 44H SEMANAIS</v>
      </c>
      <c r="C20" s="1020"/>
      <c r="D20" s="1020"/>
      <c r="E20" s="1020"/>
      <c r="F20" s="1020"/>
      <c r="G20" s="1020"/>
      <c r="H20" s="317" t="s">
        <v>94</v>
      </c>
      <c r="I20" s="1021">
        <v>5</v>
      </c>
      <c r="J20" s="1021"/>
      <c r="K20" s="1021"/>
      <c r="M20" s="328" t="s">
        <v>364</v>
      </c>
      <c r="N20" s="322">
        <v>8</v>
      </c>
      <c r="O20" s="510">
        <v>10</v>
      </c>
      <c r="P20" s="322">
        <v>60</v>
      </c>
      <c r="Q20" s="510">
        <f>(N20*O20)/P20</f>
        <v>1.3333333333333333</v>
      </c>
    </row>
    <row r="21" spans="2:17" s="17" customFormat="1" ht="12.75">
      <c r="B21" s="291"/>
      <c r="C21" s="606"/>
      <c r="D21" s="602"/>
      <c r="E21" s="602"/>
      <c r="F21" s="602"/>
      <c r="G21" s="602"/>
      <c r="H21" s="602"/>
      <c r="I21" s="602"/>
      <c r="J21" s="602"/>
      <c r="K21" s="607"/>
      <c r="M21" s="321" t="s">
        <v>365</v>
      </c>
      <c r="N21" s="322">
        <v>8</v>
      </c>
      <c r="O21" s="510">
        <v>5</v>
      </c>
      <c r="P21" s="322">
        <v>12</v>
      </c>
      <c r="Q21" s="510">
        <f>(N21*O21)/P21</f>
        <v>3.3333333333333335</v>
      </c>
    </row>
    <row r="22" spans="2:17" s="17" customFormat="1" ht="25.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366</v>
      </c>
      <c r="N22" s="322">
        <v>22</v>
      </c>
      <c r="O22" s="510">
        <v>80</v>
      </c>
      <c r="P22" s="322">
        <v>24</v>
      </c>
      <c r="Q22" s="510">
        <f t="shared" ref="Q22:Q25" si="1">(N22*O22)/P22</f>
        <v>73.333333333333329</v>
      </c>
    </row>
    <row r="23" spans="2:17" s="17" customFormat="1" ht="12.75">
      <c r="B23" s="291"/>
      <c r="C23" s="602"/>
      <c r="D23" s="602"/>
      <c r="E23" s="602"/>
      <c r="F23" s="602"/>
      <c r="G23" s="602"/>
      <c r="H23" s="602"/>
      <c r="I23" s="602"/>
      <c r="J23" s="602"/>
      <c r="K23" s="607"/>
      <c r="M23" s="328" t="s">
        <v>367</v>
      </c>
      <c r="N23" s="322">
        <v>4</v>
      </c>
      <c r="O23" s="510">
        <v>140</v>
      </c>
      <c r="P23" s="322">
        <v>60</v>
      </c>
      <c r="Q23" s="510">
        <f t="shared" si="1"/>
        <v>9.3333333333333339</v>
      </c>
    </row>
    <row r="24" spans="2:17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M24" s="328" t="s">
        <v>368</v>
      </c>
      <c r="N24" s="322">
        <v>3</v>
      </c>
      <c r="O24" s="510">
        <v>150</v>
      </c>
      <c r="P24" s="322">
        <v>24</v>
      </c>
      <c r="Q24" s="510">
        <f t="shared" si="1"/>
        <v>18.75</v>
      </c>
    </row>
    <row r="25" spans="2:17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328" t="s">
        <v>369</v>
      </c>
      <c r="N25" s="322">
        <v>2</v>
      </c>
      <c r="O25" s="510">
        <v>50</v>
      </c>
      <c r="P25" s="322">
        <v>12</v>
      </c>
      <c r="Q25" s="510">
        <f t="shared" si="1"/>
        <v>8.3333333333333339</v>
      </c>
    </row>
    <row r="26" spans="2:17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986" t="s">
        <v>147</v>
      </c>
      <c r="N26" s="986"/>
      <c r="O26" s="986"/>
      <c r="P26" s="986"/>
      <c r="Q26" s="668">
        <f>(Q17+Q18+Q19+Q20+Q21+Q25+Q22+Q23+Q24)/22</f>
        <v>10.162878787878787</v>
      </c>
    </row>
    <row r="27" spans="2:17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</row>
    <row r="28" spans="2:17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986" t="s">
        <v>354</v>
      </c>
      <c r="N28" s="986"/>
      <c r="O28" s="986"/>
      <c r="P28" s="986"/>
      <c r="Q28" s="986"/>
    </row>
    <row r="29" spans="2:17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3" t="s">
        <v>114</v>
      </c>
      <c r="N29" s="324" t="s">
        <v>115</v>
      </c>
      <c r="O29" s="324" t="s">
        <v>116</v>
      </c>
      <c r="P29" s="324" t="s">
        <v>117</v>
      </c>
      <c r="Q29" s="324" t="s">
        <v>97</v>
      </c>
    </row>
    <row r="30" spans="2:17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220</v>
      </c>
      <c r="N30" s="322">
        <v>10</v>
      </c>
      <c r="O30" s="510">
        <v>603</v>
      </c>
      <c r="P30" s="326">
        <v>120</v>
      </c>
      <c r="Q30" s="516">
        <f>(N30*O30)/P30</f>
        <v>50.25</v>
      </c>
    </row>
    <row r="31" spans="2:17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328" t="s">
        <v>342</v>
      </c>
      <c r="N31" s="322">
        <v>200</v>
      </c>
      <c r="O31" s="510">
        <v>6.5</v>
      </c>
      <c r="P31" s="326">
        <v>60</v>
      </c>
      <c r="Q31" s="515">
        <f t="shared" ref="Q31:Q32" si="2">N31*O31/P31</f>
        <v>21.666666666666668</v>
      </c>
    </row>
    <row r="32" spans="2:17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609" t="s">
        <v>3</v>
      </c>
      <c r="K32" s="609" t="s">
        <v>1</v>
      </c>
      <c r="M32" s="328" t="s">
        <v>355</v>
      </c>
      <c r="N32" s="322">
        <v>10</v>
      </c>
      <c r="O32" s="510">
        <v>100</v>
      </c>
      <c r="P32" s="326">
        <v>60</v>
      </c>
      <c r="Q32" s="515">
        <f t="shared" si="2"/>
        <v>16.666666666666668</v>
      </c>
    </row>
    <row r="33" spans="2:18" s="17" customFormat="1" ht="19.5" customHeight="1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712">
        <f>K27</f>
        <v>1372.86</v>
      </c>
      <c r="M33" s="986" t="s">
        <v>147</v>
      </c>
      <c r="N33" s="986"/>
      <c r="O33" s="986"/>
      <c r="P33" s="986"/>
      <c r="Q33" s="668">
        <f>(Q30+Q31+Q32)/22</f>
        <v>4.0265151515151523</v>
      </c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617">
        <v>0.3</v>
      </c>
      <c r="K34" s="712">
        <f>K33*J34</f>
        <v>411.85799999999995</v>
      </c>
    </row>
    <row r="35" spans="2:18" s="17" customFormat="1" ht="12.75">
      <c r="B35" s="238" t="s">
        <v>9</v>
      </c>
      <c r="C35" s="1027" t="s">
        <v>2</v>
      </c>
      <c r="D35" s="1027"/>
      <c r="E35" s="1027"/>
      <c r="F35" s="1027"/>
      <c r="G35" s="1027"/>
      <c r="H35" s="1027"/>
      <c r="I35" s="1027"/>
      <c r="J35" s="277">
        <v>0</v>
      </c>
      <c r="K35" s="276">
        <f>((K33+K34)/220)*0.2*J35</f>
        <v>0</v>
      </c>
      <c r="M35" s="986" t="s">
        <v>370</v>
      </c>
      <c r="N35" s="986"/>
      <c r="O35" s="986"/>
      <c r="P35" s="986"/>
      <c r="Q35" s="986"/>
    </row>
    <row r="36" spans="2:18" s="17" customFormat="1" ht="12.75">
      <c r="B36" s="238" t="s">
        <v>10</v>
      </c>
      <c r="C36" s="1027" t="s">
        <v>109</v>
      </c>
      <c r="D36" s="1027"/>
      <c r="E36" s="1027"/>
      <c r="F36" s="1027"/>
      <c r="G36" s="1027"/>
      <c r="H36" s="1027"/>
      <c r="I36" s="1027"/>
      <c r="J36" s="277">
        <v>0</v>
      </c>
      <c r="K36" s="276">
        <f>J36*14.89</f>
        <v>0</v>
      </c>
      <c r="L36" s="21"/>
      <c r="M36" s="323" t="s">
        <v>114</v>
      </c>
      <c r="N36" s="324" t="s">
        <v>115</v>
      </c>
      <c r="O36" s="324" t="s">
        <v>116</v>
      </c>
      <c r="P36" s="324" t="s">
        <v>117</v>
      </c>
      <c r="Q36" s="324" t="s">
        <v>97</v>
      </c>
    </row>
    <row r="37" spans="2:18" s="17" customFormat="1" ht="27" customHeight="1">
      <c r="B37" s="275" t="s">
        <v>11</v>
      </c>
      <c r="C37" s="1032" t="s">
        <v>67</v>
      </c>
      <c r="D37" s="1033"/>
      <c r="E37" s="1033"/>
      <c r="F37" s="1033"/>
      <c r="G37" s="1033"/>
      <c r="H37" s="1033"/>
      <c r="I37" s="1037"/>
      <c r="J37" s="278">
        <v>0</v>
      </c>
      <c r="K37" s="276">
        <v>0</v>
      </c>
      <c r="L37" s="21"/>
      <c r="M37" s="635" t="s">
        <v>371</v>
      </c>
      <c r="N37" s="322">
        <v>1</v>
      </c>
      <c r="O37" s="510">
        <v>390</v>
      </c>
      <c r="P37" s="326">
        <v>60</v>
      </c>
      <c r="Q37" s="516">
        <f>(N37*O37)/P37</f>
        <v>6.5</v>
      </c>
    </row>
    <row r="38" spans="2:18" s="17" customFormat="1" ht="12.75">
      <c r="B38" s="238" t="s">
        <v>12</v>
      </c>
      <c r="C38" s="1038" t="s">
        <v>110</v>
      </c>
      <c r="D38" s="1039"/>
      <c r="E38" s="1039"/>
      <c r="F38" s="1039"/>
      <c r="G38" s="1039"/>
      <c r="H38" s="1039"/>
      <c r="I38" s="1040"/>
      <c r="J38" s="278">
        <v>0</v>
      </c>
      <c r="K38" s="276">
        <v>0</v>
      </c>
      <c r="L38" s="22"/>
      <c r="M38" s="986" t="s">
        <v>147</v>
      </c>
      <c r="N38" s="986"/>
      <c r="O38" s="986"/>
      <c r="P38" s="986"/>
      <c r="Q38" s="668">
        <f>Q37</f>
        <v>6.5</v>
      </c>
      <c r="R38" s="23"/>
    </row>
    <row r="39" spans="2:18" s="17" customFormat="1">
      <c r="B39" s="238" t="s">
        <v>13</v>
      </c>
      <c r="C39" s="1038" t="s">
        <v>112</v>
      </c>
      <c r="D39" s="1039"/>
      <c r="E39" s="1039"/>
      <c r="F39" s="1039"/>
      <c r="G39" s="1039"/>
      <c r="H39" s="1039"/>
      <c r="I39" s="1040"/>
      <c r="J39" s="279">
        <v>0</v>
      </c>
      <c r="K39" s="276">
        <f>J39*J35</f>
        <v>0</v>
      </c>
      <c r="L39" s="22"/>
      <c r="M39" s="503"/>
      <c r="N39" s="618"/>
      <c r="O39" s="618"/>
      <c r="P39" s="618"/>
      <c r="Q39" s="619"/>
      <c r="R39" s="16"/>
    </row>
    <row r="40" spans="2:18" s="17" customFormat="1" ht="15" customHeigh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>
        <f>(K35+K36)/6</f>
        <v>0</v>
      </c>
      <c r="L40" s="22"/>
      <c r="M40" s="503"/>
      <c r="N40" s="504"/>
      <c r="O40" s="504"/>
      <c r="P40" s="504"/>
      <c r="Q40" s="504"/>
    </row>
    <row r="41" spans="2:18" s="17" customFormat="1" ht="15" customHeigh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1784.7179999999998</v>
      </c>
      <c r="L41" s="22"/>
      <c r="M41" s="503"/>
      <c r="N41" s="504"/>
      <c r="O41" s="504"/>
      <c r="P41" s="504"/>
      <c r="Q41" s="504"/>
    </row>
    <row r="42" spans="2:18" s="17" customFormat="1" ht="15" customHeigh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SUM(K41)</f>
        <v>1784.7179999999998</v>
      </c>
      <c r="L42" s="22"/>
      <c r="M42" s="503"/>
      <c r="N42" s="504"/>
      <c r="O42" s="504"/>
      <c r="P42" s="504"/>
      <c r="Q42" s="504"/>
    </row>
    <row r="43" spans="2:18" s="17" customFormat="1">
      <c r="B43" s="1030" t="s">
        <v>57</v>
      </c>
      <c r="C43" s="1030"/>
      <c r="D43" s="1030"/>
      <c r="E43" s="1030"/>
      <c r="F43" s="1030"/>
      <c r="G43" s="1030"/>
      <c r="H43" s="1030"/>
      <c r="I43" s="1030"/>
      <c r="J43" s="1030"/>
      <c r="K43" s="520">
        <f>K33+K34</f>
        <v>1784.7179999999998</v>
      </c>
      <c r="L43" s="22"/>
      <c r="M43" s="503"/>
      <c r="N43" s="1035"/>
      <c r="O43" s="1035"/>
      <c r="P43" s="1035"/>
      <c r="Q43" s="1035"/>
    </row>
    <row r="44" spans="2:18" s="17" customFormat="1">
      <c r="B44" s="291"/>
      <c r="C44" s="611"/>
      <c r="D44" s="611"/>
      <c r="E44" s="611"/>
      <c r="F44" s="611"/>
      <c r="G44" s="611"/>
      <c r="H44" s="611"/>
      <c r="I44" s="611"/>
      <c r="J44" s="611"/>
      <c r="K44" s="294"/>
      <c r="L44" s="22"/>
      <c r="M44" s="1036" t="s">
        <v>313</v>
      </c>
      <c r="N44" s="1036"/>
      <c r="O44" s="504"/>
      <c r="P44" s="504"/>
      <c r="Q44" s="457"/>
      <c r="R44" s="23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2"/>
      <c r="M45" s="569" t="s">
        <v>314</v>
      </c>
      <c r="N45" s="570">
        <v>25.5</v>
      </c>
      <c r="O45" s="568"/>
      <c r="P45" s="568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612" t="s">
        <v>3</v>
      </c>
      <c r="K46" s="612" t="s">
        <v>1</v>
      </c>
      <c r="L46" s="27"/>
      <c r="M46" s="569" t="s">
        <v>315</v>
      </c>
      <c r="N46" s="571">
        <v>22</v>
      </c>
      <c r="O46" s="568"/>
      <c r="P46" s="568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9.0899999999999995E-2</v>
      </c>
      <c r="K47" s="274">
        <f>$K$43*J47</f>
        <v>162.23086619999998</v>
      </c>
      <c r="L47" s="27"/>
      <c r="M47" s="569" t="s">
        <v>316</v>
      </c>
      <c r="N47" s="570">
        <f>N45*N46</f>
        <v>561</v>
      </c>
      <c r="O47" s="568"/>
      <c r="P47" s="568"/>
      <c r="Q47" s="504"/>
    </row>
    <row r="48" spans="2:18" s="17" customFormat="1">
      <c r="B48" s="238" t="s">
        <v>8</v>
      </c>
      <c r="C48" s="1027" t="s">
        <v>439</v>
      </c>
      <c r="D48" s="1027"/>
      <c r="E48" s="1027"/>
      <c r="F48" s="1027"/>
      <c r="G48" s="1027"/>
      <c r="H48" s="1027"/>
      <c r="I48" s="1027"/>
      <c r="J48" s="411">
        <v>0.1212</v>
      </c>
      <c r="K48" s="274">
        <f t="shared" ref="K48:K49" si="3">$K$43*J48</f>
        <v>216.30782159999998</v>
      </c>
      <c r="L48" s="29"/>
      <c r="M48" s="569" t="s">
        <v>317</v>
      </c>
      <c r="N48" s="570">
        <f>N47*5%</f>
        <v>28.05</v>
      </c>
      <c r="O48" s="572" t="s">
        <v>318</v>
      </c>
      <c r="P48" s="585" t="s">
        <v>316</v>
      </c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0.21210000000000001</v>
      </c>
      <c r="K49" s="679">
        <f t="shared" si="3"/>
        <v>378.53868779999999</v>
      </c>
      <c r="L49" s="678"/>
      <c r="M49" s="573" t="s">
        <v>319</v>
      </c>
      <c r="N49" s="570">
        <f>N47-N48</f>
        <v>532.95000000000005</v>
      </c>
      <c r="O49" s="575">
        <v>1</v>
      </c>
      <c r="P49" s="584">
        <f>O49*N49</f>
        <v>532.95000000000005</v>
      </c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9"/>
      <c r="M50" s="1066" t="s">
        <v>320</v>
      </c>
      <c r="N50" s="1066"/>
      <c r="O50" s="622"/>
      <c r="P50" s="621"/>
      <c r="Q50" s="504"/>
    </row>
    <row r="51" spans="2:17" s="17" customFormat="1">
      <c r="B51" s="1030" t="s">
        <v>420</v>
      </c>
      <c r="C51" s="1030"/>
      <c r="D51" s="1030"/>
      <c r="E51" s="1030"/>
      <c r="F51" s="1030"/>
      <c r="G51" s="1030"/>
      <c r="H51" s="1030"/>
      <c r="I51" s="1030"/>
      <c r="J51" s="608" t="s">
        <v>3</v>
      </c>
      <c r="K51" s="608" t="s">
        <v>1</v>
      </c>
      <c r="L51" s="27"/>
      <c r="M51" s="620"/>
      <c r="N51" s="621"/>
      <c r="O51" s="622"/>
      <c r="P51" s="621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($K$43+$K$49)*J52</f>
        <v>432.65133756</v>
      </c>
      <c r="L52" s="27"/>
      <c r="M52" s="1036" t="s">
        <v>321</v>
      </c>
      <c r="N52" s="1036"/>
      <c r="O52" s="568"/>
      <c r="P52" s="568"/>
      <c r="Q52" s="504"/>
    </row>
    <row r="53" spans="2:17" s="17" customForma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($K$43+$K$49)*J53</f>
        <v>54.081417195</v>
      </c>
      <c r="L53" s="29"/>
      <c r="M53" s="569" t="s">
        <v>322</v>
      </c>
      <c r="N53" s="577">
        <v>3.8</v>
      </c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0.03</v>
      </c>
      <c r="K54" s="273">
        <f t="shared" si="4"/>
        <v>64.897700633999989</v>
      </c>
      <c r="L54" s="29"/>
      <c r="M54" s="569" t="s">
        <v>323</v>
      </c>
      <c r="N54" s="577">
        <v>2</v>
      </c>
      <c r="O54" s="568"/>
      <c r="P54" s="568"/>
      <c r="Q54" s="504"/>
    </row>
    <row r="55" spans="2:17" s="17" customForma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32.448850316999994</v>
      </c>
      <c r="L55" s="29"/>
      <c r="M55" s="569" t="s">
        <v>324</v>
      </c>
      <c r="N55" s="571">
        <v>22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21.632566877999999</v>
      </c>
      <c r="L56" s="29"/>
      <c r="M56" s="569" t="s">
        <v>325</v>
      </c>
      <c r="N56" s="577">
        <f>(N53*N54)*N55</f>
        <v>167.2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12.979540126799998</v>
      </c>
      <c r="L57" s="29"/>
      <c r="M57" s="569" t="s">
        <v>326</v>
      </c>
      <c r="N57" s="577">
        <f>K33*6%</f>
        <v>82.371599999999987</v>
      </c>
      <c r="O57" s="572" t="s">
        <v>318</v>
      </c>
      <c r="P57" s="585" t="s">
        <v>316</v>
      </c>
      <c r="Q57" s="504"/>
    </row>
    <row r="58" spans="2:17" s="17" customFormat="1" ht="14.25" customHeigh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4.3265133755999994</v>
      </c>
      <c r="L58" s="29"/>
      <c r="M58" s="573" t="s">
        <v>319</v>
      </c>
      <c r="N58" s="578">
        <f>N56-N57</f>
        <v>84.828400000000002</v>
      </c>
      <c r="O58" s="575">
        <v>1</v>
      </c>
      <c r="P58" s="584">
        <f>O58*N58</f>
        <v>84.828400000000002</v>
      </c>
      <c r="Q58" s="504"/>
    </row>
    <row r="59" spans="2:17" s="17" customFormat="1" ht="14.25" customHeigh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173.06053502399999</v>
      </c>
      <c r="L59" s="29"/>
      <c r="M59" s="1066" t="s">
        <v>327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0.36800000000000005</v>
      </c>
      <c r="K60" s="708">
        <f>SUM(K52:K59)</f>
        <v>796.07846111039999</v>
      </c>
      <c r="L60" s="27"/>
      <c r="M60" s="625"/>
      <c r="N60" s="620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67" t="s">
        <v>328</v>
      </c>
      <c r="N61" s="1067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701" t="s">
        <v>1</v>
      </c>
      <c r="L62" s="29"/>
      <c r="M62" s="569" t="s">
        <v>329</v>
      </c>
      <c r="N62" s="579">
        <v>109.23</v>
      </c>
      <c r="O62" s="568"/>
      <c r="P62" s="568"/>
      <c r="Q62" s="504"/>
    </row>
    <row r="63" spans="2:17" s="17" customFormat="1">
      <c r="B63" s="702" t="s">
        <v>7</v>
      </c>
      <c r="C63" s="1045" t="s">
        <v>113</v>
      </c>
      <c r="D63" s="1046"/>
      <c r="E63" s="1046"/>
      <c r="F63" s="1046"/>
      <c r="G63" s="1046"/>
      <c r="H63" s="1046"/>
      <c r="I63" s="1046"/>
      <c r="J63" s="1047"/>
      <c r="K63" s="703">
        <f>P58</f>
        <v>84.828400000000002</v>
      </c>
      <c r="L63" s="27"/>
      <c r="M63" s="569" t="s">
        <v>330</v>
      </c>
      <c r="N63" s="579">
        <v>1</v>
      </c>
      <c r="O63" s="568"/>
      <c r="P63" s="568"/>
      <c r="Q63" s="504"/>
    </row>
    <row r="64" spans="2:17" s="17" customFormat="1">
      <c r="B64" s="702" t="s">
        <v>8</v>
      </c>
      <c r="C64" s="1045" t="s">
        <v>173</v>
      </c>
      <c r="D64" s="1046"/>
      <c r="E64" s="1046"/>
      <c r="F64" s="1046"/>
      <c r="G64" s="1046"/>
      <c r="H64" s="1046"/>
      <c r="I64" s="1046"/>
      <c r="J64" s="1047"/>
      <c r="K64" s="271">
        <f>P49</f>
        <v>532.95000000000005</v>
      </c>
      <c r="L64" s="29"/>
      <c r="M64" s="569" t="s">
        <v>331</v>
      </c>
      <c r="N64" s="580">
        <v>1</v>
      </c>
      <c r="O64" s="568"/>
      <c r="P64" s="568"/>
      <c r="Q64" s="504"/>
    </row>
    <row r="65" spans="2:17" s="17" customFormat="1" ht="15.75">
      <c r="B65" s="702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50"/>
      <c r="K65" s="271">
        <f>N65</f>
        <v>108.23</v>
      </c>
      <c r="L65" s="29"/>
      <c r="M65" s="581" t="s">
        <v>332</v>
      </c>
      <c r="N65" s="583">
        <f>(N62-N63)*N64</f>
        <v>108.23</v>
      </c>
      <c r="O65" s="568"/>
      <c r="P65" s="568"/>
      <c r="Q65" s="504"/>
    </row>
    <row r="66" spans="2:17" s="17" customFormat="1" ht="13.5" customHeight="1">
      <c r="B66" s="702" t="s">
        <v>10</v>
      </c>
      <c r="C66" s="563" t="s">
        <v>438</v>
      </c>
      <c r="D66" s="564"/>
      <c r="E66" s="565"/>
      <c r="F66" s="565"/>
      <c r="G66" s="565"/>
      <c r="H66" s="565"/>
      <c r="I66" s="565"/>
      <c r="J66" s="566"/>
      <c r="K66" s="271">
        <v>10</v>
      </c>
      <c r="L66" s="29"/>
      <c r="M66" s="1066" t="s">
        <v>333</v>
      </c>
      <c r="N66" s="1066"/>
      <c r="O66" s="568"/>
      <c r="P66" s="568"/>
      <c r="Q66" s="504"/>
    </row>
    <row r="67" spans="2:17" s="17" customFormat="1" ht="13.5" customHeigh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SUM(K63:K66)</f>
        <v>736.00840000000005</v>
      </c>
      <c r="L67" s="27"/>
      <c r="M67" s="623"/>
      <c r="N67" s="626"/>
      <c r="O67" s="624"/>
      <c r="P67" s="624"/>
      <c r="Q67" s="504"/>
    </row>
    <row r="68" spans="2:17" s="17" customFormat="1" ht="13.5" customHeigh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7"/>
      <c r="M68" s="620"/>
      <c r="N68" s="627"/>
      <c r="O68" s="622"/>
      <c r="P68" s="621"/>
      <c r="Q68" s="504"/>
    </row>
    <row r="69" spans="2:17" s="17" customFormat="1" ht="14.25" customHeight="1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7"/>
      <c r="M69" s="568"/>
      <c r="N69" s="620"/>
      <c r="O69" s="568"/>
      <c r="P69" s="568"/>
      <c r="Q69" s="504"/>
    </row>
    <row r="70" spans="2:17" s="17" customFormat="1" ht="36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608" t="s">
        <v>1</v>
      </c>
      <c r="L70" s="29"/>
      <c r="M70" s="655" t="s">
        <v>421</v>
      </c>
      <c r="N70" s="654" t="s">
        <v>422</v>
      </c>
      <c r="O70" s="320" t="s">
        <v>117</v>
      </c>
      <c r="P70" s="653" t="s">
        <v>423</v>
      </c>
      <c r="Q70" s="590" t="s">
        <v>97</v>
      </c>
    </row>
    <row r="71" spans="2:17" s="17" customFormat="1" ht="12.75">
      <c r="B71" s="603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378.53868779999999</v>
      </c>
      <c r="L71" s="29"/>
      <c r="M71" s="656" t="s">
        <v>424</v>
      </c>
      <c r="N71" s="575">
        <v>6</v>
      </c>
      <c r="O71" s="322">
        <v>0</v>
      </c>
      <c r="P71" s="657">
        <v>0.75</v>
      </c>
      <c r="Q71" s="592">
        <f>(N71*P71)</f>
        <v>4.5</v>
      </c>
    </row>
    <row r="72" spans="2:17" s="17" customFormat="1" ht="12.75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796.07846111039999</v>
      </c>
      <c r="L72" s="29"/>
      <c r="M72" s="573" t="s">
        <v>425</v>
      </c>
      <c r="N72" s="575">
        <v>2</v>
      </c>
      <c r="O72" s="322">
        <v>0</v>
      </c>
      <c r="P72" s="657">
        <v>6.7</v>
      </c>
      <c r="Q72" s="592">
        <f>(N72*P72)</f>
        <v>13.4</v>
      </c>
    </row>
    <row r="73" spans="2:17" s="17" customFormat="1" ht="12.75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736.00840000000005</v>
      </c>
      <c r="L73" s="29"/>
      <c r="M73" s="986" t="s">
        <v>147</v>
      </c>
      <c r="N73" s="986"/>
      <c r="O73" s="986"/>
      <c r="P73" s="986"/>
      <c r="Q73" s="668">
        <f>(Q71+Q72)/22</f>
        <v>0.8136363636363636</v>
      </c>
    </row>
    <row r="74" spans="2:17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1910.62</v>
      </c>
      <c r="L74" s="29"/>
      <c r="M74" s="632"/>
      <c r="N74" s="630"/>
      <c r="O74" s="568"/>
      <c r="P74" s="568"/>
      <c r="Q74" s="504"/>
    </row>
    <row r="75" spans="2:17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620"/>
      <c r="N75" s="633"/>
      <c r="O75" s="582"/>
      <c r="P75" s="568"/>
      <c r="Q75" s="504"/>
    </row>
    <row r="76" spans="2:17" s="17" customFormat="1">
      <c r="B76" s="609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609" t="s">
        <v>3</v>
      </c>
      <c r="K76" s="609" t="s">
        <v>1</v>
      </c>
      <c r="L76" s="29"/>
      <c r="M76" s="634"/>
      <c r="N76" s="620"/>
      <c r="O76" s="582"/>
      <c r="P76" s="568"/>
      <c r="Q76" s="504"/>
    </row>
    <row r="77" spans="2:17" s="17" customFormat="1">
      <c r="B77" s="609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709">
        <v>4.1999999999999997E-3</v>
      </c>
      <c r="K77" s="246">
        <f>K42*J77</f>
        <v>7.4958155999999985</v>
      </c>
      <c r="L77" s="27">
        <f>K42*J77</f>
        <v>7.4958155999999985</v>
      </c>
      <c r="M77" s="503"/>
      <c r="N77" s="504"/>
      <c r="O77" s="504"/>
      <c r="P77" s="504"/>
      <c r="Q77" s="504"/>
    </row>
    <row r="78" spans="2:17" s="17" customFormat="1">
      <c r="B78" s="609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3.3599999999999998E-4</v>
      </c>
      <c r="K78" s="680">
        <f>K77*J78</f>
        <v>2.5185940415999994E-3</v>
      </c>
      <c r="L78" s="29"/>
      <c r="M78" s="503"/>
      <c r="N78" s="504"/>
      <c r="O78" s="504"/>
      <c r="P78" s="504"/>
      <c r="Q78" s="504"/>
    </row>
    <row r="79" spans="2:17" s="17" customFormat="1">
      <c r="B79" s="609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2.18E-2</v>
      </c>
      <c r="K79" s="242">
        <f>K42*J79</f>
        <v>38.906852399999998</v>
      </c>
      <c r="L79" s="29"/>
      <c r="M79" s="503"/>
      <c r="N79" s="504"/>
      <c r="O79" s="504"/>
      <c r="P79" s="504"/>
      <c r="Q79" s="504"/>
    </row>
    <row r="80" spans="2:17" s="17" customFormat="1">
      <c r="B80" s="609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K42*J80</f>
        <v>34.702849999999998</v>
      </c>
      <c r="L80" s="29"/>
      <c r="M80" s="503"/>
      <c r="N80" s="504"/>
      <c r="O80" s="504"/>
      <c r="P80" s="504"/>
      <c r="Q80" s="504"/>
    </row>
    <row r="81" spans="2:17" s="17" customFormat="1">
      <c r="B81" s="609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7.1555555555555565E-3</v>
      </c>
      <c r="K81" s="242">
        <f>K80*J81</f>
        <v>0.24831817111111112</v>
      </c>
      <c r="L81" s="29"/>
      <c r="M81" s="503"/>
      <c r="N81" s="504"/>
      <c r="O81" s="504"/>
      <c r="P81" s="504"/>
      <c r="Q81" s="504"/>
    </row>
    <row r="82" spans="2:17" s="17" customFormat="1">
      <c r="B82" s="609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2.18E-2</v>
      </c>
      <c r="K82" s="242">
        <f>K42*J82</f>
        <v>38.906852399999998</v>
      </c>
      <c r="L82" s="29"/>
      <c r="M82" s="503"/>
      <c r="N82" s="504"/>
      <c r="O82" s="671">
        <f>K144</f>
        <v>4573.3114395183366</v>
      </c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7.4735999999999997E-2</v>
      </c>
      <c r="K83" s="260">
        <f>TRUNC(SUM(K77:K82),2)</f>
        <v>120.26</v>
      </c>
      <c r="L83" s="29"/>
      <c r="M83" s="503"/>
      <c r="N83" s="504"/>
      <c r="O83" s="671">
        <v>4573.76</v>
      </c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671">
        <f>O82-O83</f>
        <v>-0.44856048166366236</v>
      </c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609" t="s">
        <v>3</v>
      </c>
      <c r="K86" s="609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609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v>9.0899999999999995E-2</v>
      </c>
      <c r="K87" s="242">
        <f>$K$42*J87</f>
        <v>162.23086619999998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2">
        <f t="shared" ref="K88:K92" si="5">$K$42*J88</f>
        <v>8.0312309999999982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4.0000000000000002E-4</v>
      </c>
      <c r="K89" s="242">
        <f t="shared" si="5"/>
        <v>0.71388719999999994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2.7000000000000001E-3</v>
      </c>
      <c r="K90" s="242">
        <f t="shared" si="5"/>
        <v>4.8187385999999996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2.9999999999999997E-4</v>
      </c>
      <c r="K91" s="242">
        <f t="shared" si="5"/>
        <v>0.53541539999999987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2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9.8799999999999985E-2</v>
      </c>
      <c r="K93" s="260">
        <f>SUM(K87:K92)</f>
        <v>176.33013839999995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608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609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v>0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0</v>
      </c>
      <c r="L97" s="29"/>
      <c r="M97" s="503"/>
      <c r="N97" s="504"/>
      <c r="O97" s="504"/>
      <c r="P97" s="504"/>
      <c r="Q97" s="504"/>
    </row>
    <row r="98" spans="2:17" s="17" customFormat="1">
      <c r="B98" s="605"/>
      <c r="C98" s="606"/>
      <c r="D98" s="606"/>
      <c r="E98" s="606"/>
      <c r="F98" s="606"/>
      <c r="G98" s="606"/>
      <c r="H98" s="606"/>
      <c r="I98" s="606"/>
      <c r="J98" s="606"/>
      <c r="K98" s="607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608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609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176.33013839999995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v>0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176.33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0.75363599999999997</v>
      </c>
      <c r="K104" s="520">
        <f>K93+K83+K60+K49</f>
        <v>1471.2072873103998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608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608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609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9.5757575757575761</v>
      </c>
      <c r="L108" s="29"/>
      <c r="M108" s="503"/>
      <c r="N108" s="504"/>
      <c r="O108" s="504"/>
      <c r="P108" s="504"/>
      <c r="Q108" s="504"/>
    </row>
    <row r="109" spans="2:17" s="17" customFormat="1">
      <c r="B109" s="609" t="s">
        <v>8</v>
      </c>
      <c r="C109" s="1038" t="s">
        <v>426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Q26+Q73</f>
        <v>10.976515151515152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427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Q33+Q38</f>
        <v>10.526515151515152</v>
      </c>
      <c r="L110" s="29"/>
      <c r="M110" s="503"/>
      <c r="N110" s="504"/>
      <c r="O110" s="504"/>
      <c r="P110" s="504"/>
      <c r="Q110" s="504"/>
    </row>
    <row r="111" spans="2:17" s="17" customFormat="1">
      <c r="B111" s="250" t="s">
        <v>10</v>
      </c>
      <c r="C111" s="1027"/>
      <c r="D111" s="1027"/>
      <c r="E111" s="1027"/>
      <c r="F111" s="1027"/>
      <c r="G111" s="1027"/>
      <c r="H111" s="1027"/>
      <c r="I111" s="1027"/>
      <c r="J111" s="238"/>
      <c r="K111" s="242"/>
      <c r="L111" s="29"/>
      <c r="M111" s="503"/>
      <c r="N111" s="504"/>
      <c r="O111" s="504"/>
      <c r="P111" s="504"/>
      <c r="Q111" s="504"/>
    </row>
    <row r="112" spans="2:17" s="17" customFormat="1">
      <c r="B112" s="1083" t="s">
        <v>70</v>
      </c>
      <c r="C112" s="1083"/>
      <c r="D112" s="1083"/>
      <c r="E112" s="1083"/>
      <c r="F112" s="1083"/>
      <c r="G112" s="1083"/>
      <c r="H112" s="1083"/>
      <c r="I112" s="1083"/>
      <c r="J112" s="419" t="s">
        <v>0</v>
      </c>
      <c r="K112" s="415">
        <f>TRUNC(SUM(K108:K111),2)</f>
        <v>31.07</v>
      </c>
      <c r="L112" s="29"/>
      <c r="M112" s="503"/>
      <c r="N112" s="504"/>
      <c r="O112" s="504"/>
      <c r="P112" s="504"/>
      <c r="Q112" s="504"/>
    </row>
    <row r="113" spans="2:18" s="17" customFormat="1">
      <c r="B113" s="1084" t="s">
        <v>71</v>
      </c>
      <c r="C113" s="1084"/>
      <c r="D113" s="1084"/>
      <c r="E113" s="1084"/>
      <c r="F113" s="1084"/>
      <c r="G113" s="1084"/>
      <c r="H113" s="1084"/>
      <c r="I113" s="1084"/>
      <c r="J113" s="1084"/>
      <c r="K113" s="1084"/>
      <c r="L113" s="29"/>
      <c r="M113" s="503"/>
      <c r="N113" s="504"/>
      <c r="O113" s="504"/>
      <c r="P113" s="504"/>
      <c r="Q113" s="504"/>
    </row>
    <row r="114" spans="2:18" s="17" customFormat="1">
      <c r="B114" s="609">
        <v>6</v>
      </c>
      <c r="C114" s="1085" t="s">
        <v>18</v>
      </c>
      <c r="D114" s="1085"/>
      <c r="E114" s="1085"/>
      <c r="F114" s="1085"/>
      <c r="G114" s="1085"/>
      <c r="H114" s="1085"/>
      <c r="I114" s="1085"/>
      <c r="J114" s="609" t="s">
        <v>3</v>
      </c>
      <c r="K114" s="609" t="s">
        <v>1</v>
      </c>
      <c r="L114" s="29"/>
      <c r="M114" s="503"/>
      <c r="N114" s="504"/>
      <c r="O114" s="504"/>
      <c r="P114" s="504"/>
      <c r="Q114" s="504"/>
    </row>
    <row r="115" spans="2:18" s="17" customFormat="1">
      <c r="B115" s="609" t="s">
        <v>7</v>
      </c>
      <c r="C115" s="1044" t="s">
        <v>21</v>
      </c>
      <c r="D115" s="1044"/>
      <c r="E115" s="1044"/>
      <c r="F115" s="1044"/>
      <c r="G115" s="1044"/>
      <c r="H115" s="1044"/>
      <c r="I115" s="1044"/>
      <c r="J115" s="698">
        <v>1.8499999999999999E-2</v>
      </c>
      <c r="K115" s="355">
        <f>TRUNC(J115*K140,2)</f>
        <v>74.42</v>
      </c>
      <c r="L115" s="699"/>
      <c r="M115" s="503"/>
      <c r="N115" s="504"/>
      <c r="O115" s="504"/>
      <c r="P115" s="504"/>
      <c r="Q115" s="504"/>
    </row>
    <row r="116" spans="2:18" s="17" customFormat="1">
      <c r="B116" s="243" t="s">
        <v>8</v>
      </c>
      <c r="C116" s="1044" t="s">
        <v>4</v>
      </c>
      <c r="D116" s="1044"/>
      <c r="E116" s="1044"/>
      <c r="F116" s="1044"/>
      <c r="G116" s="1044"/>
      <c r="H116" s="1044"/>
      <c r="I116" s="1044"/>
      <c r="J116" s="704">
        <v>1.9599999999999999E-2</v>
      </c>
      <c r="K116" s="355">
        <f>TRUNC(J116*(K115+K140),2)</f>
        <v>80.3</v>
      </c>
      <c r="L116" s="29"/>
      <c r="M116" s="503"/>
      <c r="N116" s="504"/>
      <c r="O116" s="504"/>
      <c r="P116" s="504"/>
      <c r="Q116" s="504"/>
    </row>
    <row r="117" spans="2:18" s="17" customFormat="1">
      <c r="B117" s="604" t="s">
        <v>9</v>
      </c>
      <c r="C117" s="1086" t="s">
        <v>28</v>
      </c>
      <c r="D117" s="1087"/>
      <c r="E117" s="1087"/>
      <c r="F117" s="1087"/>
      <c r="G117" s="1087"/>
      <c r="H117" s="1087"/>
      <c r="I117" s="1087"/>
      <c r="J117" s="1088"/>
      <c r="K117" s="1089"/>
      <c r="L117" s="699"/>
      <c r="M117" s="503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82</v>
      </c>
      <c r="D118" s="1044"/>
      <c r="E118" s="1044"/>
      <c r="F118" s="1044"/>
      <c r="G118" s="1044"/>
      <c r="H118" s="1044"/>
      <c r="I118" s="1044"/>
      <c r="J118" s="245">
        <v>6.4999999999999997E-3</v>
      </c>
      <c r="K118" s="426">
        <f>TRUNC(J118*K129,2)</f>
        <v>29.72</v>
      </c>
      <c r="L118" s="29"/>
      <c r="M118" s="503"/>
      <c r="N118" s="504"/>
      <c r="O118" s="504"/>
      <c r="P118" s="504"/>
      <c r="Q118" s="504"/>
      <c r="R118" s="128"/>
    </row>
    <row r="119" spans="2:18" s="17" customFormat="1">
      <c r="B119" s="243" t="s">
        <v>29</v>
      </c>
      <c r="C119" s="1044" t="s">
        <v>77</v>
      </c>
      <c r="D119" s="1044"/>
      <c r="E119" s="1044"/>
      <c r="F119" s="1044"/>
      <c r="G119" s="1044"/>
      <c r="H119" s="1044"/>
      <c r="I119" s="1044"/>
      <c r="J119" s="245">
        <v>0.03</v>
      </c>
      <c r="K119" s="426">
        <f>TRUNC(J119*K129,2)</f>
        <v>137.19</v>
      </c>
      <c r="M119" s="503"/>
      <c r="N119" s="504"/>
      <c r="O119" s="504"/>
      <c r="P119" s="504"/>
      <c r="Q119" s="504"/>
    </row>
    <row r="120" spans="2:18" s="17" customFormat="1">
      <c r="B120" s="243" t="s">
        <v>30</v>
      </c>
      <c r="C120" s="1044" t="s">
        <v>80</v>
      </c>
      <c r="D120" s="1044"/>
      <c r="E120" s="1044"/>
      <c r="F120" s="1044"/>
      <c r="G120" s="1044"/>
      <c r="H120" s="1044"/>
      <c r="I120" s="1044"/>
      <c r="J120" s="247" t="s">
        <v>79</v>
      </c>
      <c r="K120" s="426">
        <v>0</v>
      </c>
      <c r="L120" s="25"/>
      <c r="M120" s="503"/>
      <c r="N120" s="504"/>
      <c r="O120" s="504"/>
      <c r="P120" s="504"/>
      <c r="Q120" s="504"/>
    </row>
    <row r="121" spans="2:18" s="17" customFormat="1">
      <c r="B121" s="243" t="s">
        <v>31</v>
      </c>
      <c r="C121" s="1044" t="s">
        <v>78</v>
      </c>
      <c r="D121" s="1044"/>
      <c r="E121" s="1044"/>
      <c r="F121" s="1044"/>
      <c r="G121" s="1044"/>
      <c r="H121" s="1044"/>
      <c r="I121" s="1044"/>
      <c r="J121" s="245">
        <v>0.05</v>
      </c>
      <c r="K121" s="426">
        <f>TRUNC(J121*K129,2)</f>
        <v>228.66</v>
      </c>
      <c r="M121" s="503"/>
      <c r="N121" s="504"/>
      <c r="O121" s="504"/>
      <c r="P121" s="504"/>
      <c r="Q121" s="504"/>
    </row>
    <row r="122" spans="2:18" s="17" customFormat="1">
      <c r="B122" s="1080" t="s">
        <v>72</v>
      </c>
      <c r="C122" s="1080"/>
      <c r="D122" s="1080"/>
      <c r="E122" s="1080"/>
      <c r="F122" s="1080"/>
      <c r="G122" s="1080"/>
      <c r="H122" s="1080"/>
      <c r="I122" s="1080"/>
      <c r="J122" s="420">
        <f>SUM(J115:J121)</f>
        <v>0.1246</v>
      </c>
      <c r="K122" s="523">
        <f>TRUNC(SUM(K115:K121),2)</f>
        <v>550.29</v>
      </c>
      <c r="L122" s="25"/>
      <c r="M122" s="503"/>
      <c r="N122" s="504"/>
      <c r="O122" s="504"/>
      <c r="P122" s="504"/>
      <c r="Q122" s="504"/>
    </row>
    <row r="123" spans="2:18" s="17" customFormat="1">
      <c r="B123" s="291"/>
      <c r="C123" s="606"/>
      <c r="D123" s="1081"/>
      <c r="E123" s="1081"/>
      <c r="F123" s="1081"/>
      <c r="G123" s="1081"/>
      <c r="H123" s="1081"/>
      <c r="I123" s="1081"/>
      <c r="J123" s="1081"/>
      <c r="K123" s="1082"/>
      <c r="L123" s="132"/>
      <c r="M123" s="503"/>
      <c r="N123" s="504"/>
      <c r="O123" s="504"/>
      <c r="P123" s="504"/>
      <c r="Q123" s="504"/>
    </row>
    <row r="124" spans="2:18" s="17" customFormat="1">
      <c r="B124" s="300" t="s">
        <v>32</v>
      </c>
      <c r="C124" s="301"/>
      <c r="D124" s="1071" t="s">
        <v>33</v>
      </c>
      <c r="E124" s="1071"/>
      <c r="F124" s="1071"/>
      <c r="G124" s="1071"/>
      <c r="H124" s="1071"/>
      <c r="I124" s="1072"/>
      <c r="J124" s="1073">
        <f>TRUNC(J118+J119+J121,4)</f>
        <v>8.6499999999999994E-2</v>
      </c>
      <c r="K124" s="1074"/>
      <c r="L124" s="25"/>
      <c r="M124" s="503"/>
      <c r="N124" s="504"/>
      <c r="O124" s="504"/>
      <c r="P124" s="504"/>
      <c r="Q124" s="504"/>
    </row>
    <row r="125" spans="2:18" s="17" customFormat="1">
      <c r="B125" s="233"/>
      <c r="C125" s="302"/>
      <c r="D125" s="1077">
        <v>100</v>
      </c>
      <c r="E125" s="1078"/>
      <c r="F125" s="1078"/>
      <c r="G125" s="1078"/>
      <c r="H125" s="1078"/>
      <c r="I125" s="1079"/>
      <c r="J125" s="1075"/>
      <c r="K125" s="1076"/>
      <c r="M125" s="503"/>
      <c r="N125" s="504"/>
      <c r="O125" s="504"/>
      <c r="P125" s="504"/>
      <c r="Q125" s="504"/>
      <c r="R125" s="127"/>
    </row>
    <row r="126" spans="2:18" s="17" customFormat="1">
      <c r="B126" s="311"/>
      <c r="C126" s="310"/>
      <c r="D126" s="598"/>
      <c r="E126" s="598"/>
      <c r="F126" s="598"/>
      <c r="G126" s="598"/>
      <c r="H126" s="598"/>
      <c r="I126" s="599"/>
      <c r="J126" s="600"/>
      <c r="K126" s="413"/>
      <c r="M126" s="503"/>
      <c r="N126" s="504"/>
      <c r="O126" s="504"/>
      <c r="P126" s="504"/>
      <c r="Q126" s="504"/>
    </row>
    <row r="127" spans="2:18" s="17" customFormat="1">
      <c r="B127" s="233" t="s">
        <v>34</v>
      </c>
      <c r="C127" s="302"/>
      <c r="D127" s="1078" t="s">
        <v>73</v>
      </c>
      <c r="E127" s="1078"/>
      <c r="F127" s="1078"/>
      <c r="G127" s="1078"/>
      <c r="H127" s="1078"/>
      <c r="I127" s="1079"/>
      <c r="J127" s="601"/>
      <c r="K127" s="429">
        <f>TRUNC(K140+K115+K116,2)</f>
        <v>4177.72</v>
      </c>
      <c r="M127" s="503"/>
      <c r="N127" s="504"/>
      <c r="O127" s="504"/>
      <c r="P127" s="504"/>
      <c r="Q127" s="504"/>
    </row>
    <row r="128" spans="2:18" s="17" customFormat="1">
      <c r="B128" s="300"/>
      <c r="C128" s="301"/>
      <c r="D128" s="598"/>
      <c r="E128" s="598"/>
      <c r="F128" s="598"/>
      <c r="G128" s="598"/>
      <c r="H128" s="598"/>
      <c r="I128" s="599"/>
      <c r="J128" s="600"/>
      <c r="K128" s="414"/>
      <c r="M128" s="503"/>
      <c r="N128" s="504"/>
      <c r="O128" s="504"/>
      <c r="P128" s="504"/>
      <c r="Q128" s="504"/>
    </row>
    <row r="129" spans="2:17" s="17" customFormat="1">
      <c r="B129" s="233" t="s">
        <v>35</v>
      </c>
      <c r="C129" s="302"/>
      <c r="D129" s="1078" t="s">
        <v>36</v>
      </c>
      <c r="E129" s="1078"/>
      <c r="F129" s="1078"/>
      <c r="G129" s="1078"/>
      <c r="H129" s="1078"/>
      <c r="I129" s="1079"/>
      <c r="J129" s="601"/>
      <c r="K129" s="429">
        <f>K127/(1-J124)</f>
        <v>4573.3114395183366</v>
      </c>
      <c r="M129" s="503"/>
      <c r="N129" s="504"/>
      <c r="O129" s="504"/>
      <c r="P129" s="504"/>
      <c r="Q129" s="504"/>
    </row>
    <row r="130" spans="2:17" s="17" customFormat="1">
      <c r="B130" s="610"/>
      <c r="C130" s="301"/>
      <c r="D130" s="598"/>
      <c r="E130" s="598"/>
      <c r="F130" s="598"/>
      <c r="G130" s="598"/>
      <c r="H130" s="598"/>
      <c r="I130" s="599"/>
      <c r="J130" s="600"/>
      <c r="K130" s="414"/>
      <c r="M130" s="503"/>
      <c r="N130" s="504"/>
      <c r="O130" s="504"/>
      <c r="P130" s="504"/>
      <c r="Q130" s="504"/>
    </row>
    <row r="131" spans="2:17" s="17" customFormat="1">
      <c r="B131" s="291"/>
      <c r="C131" s="302"/>
      <c r="D131" s="1078" t="s">
        <v>37</v>
      </c>
      <c r="E131" s="1078"/>
      <c r="F131" s="1078"/>
      <c r="G131" s="1078"/>
      <c r="H131" s="1078"/>
      <c r="I131" s="1079"/>
      <c r="J131" s="601"/>
      <c r="K131" s="429">
        <f>TRUNC(K129-K127,2)</f>
        <v>395.59</v>
      </c>
      <c r="M131" s="503"/>
      <c r="N131" s="504"/>
      <c r="O131" s="504"/>
      <c r="P131" s="504"/>
      <c r="Q131" s="504"/>
    </row>
    <row r="132" spans="2:17" s="17" customFormat="1">
      <c r="B132" s="291"/>
      <c r="C132" s="606"/>
      <c r="D132" s="606"/>
      <c r="E132" s="606"/>
      <c r="F132" s="606"/>
      <c r="G132" s="606"/>
      <c r="H132" s="606"/>
      <c r="I132" s="606"/>
      <c r="J132" s="606"/>
      <c r="K132" s="295"/>
      <c r="M132" s="503"/>
      <c r="N132" s="504"/>
      <c r="O132" s="504"/>
      <c r="P132" s="504"/>
      <c r="Q132" s="504"/>
    </row>
    <row r="133" spans="2:17" s="17" customFormat="1">
      <c r="B133" s="1064" t="s">
        <v>83</v>
      </c>
      <c r="C133" s="1064"/>
      <c r="D133" s="1064"/>
      <c r="E133" s="1064"/>
      <c r="F133" s="1064"/>
      <c r="G133" s="1064"/>
      <c r="H133" s="1064"/>
      <c r="I133" s="1064"/>
      <c r="J133" s="1064"/>
      <c r="K133" s="1064"/>
      <c r="M133" s="503"/>
      <c r="N133" s="504"/>
      <c r="O133" s="504"/>
      <c r="P133" s="504"/>
      <c r="Q133" s="504"/>
    </row>
    <row r="134" spans="2:17" s="17" customFormat="1">
      <c r="B134" s="1065" t="s">
        <v>22</v>
      </c>
      <c r="C134" s="1065"/>
      <c r="D134" s="1065"/>
      <c r="E134" s="1065"/>
      <c r="F134" s="1065"/>
      <c r="G134" s="1065"/>
      <c r="H134" s="1065"/>
      <c r="I134" s="1065"/>
      <c r="J134" s="1065"/>
      <c r="K134" s="604" t="s">
        <v>1</v>
      </c>
      <c r="M134" s="503"/>
      <c r="N134" s="504"/>
      <c r="O134" s="504"/>
      <c r="P134" s="504"/>
      <c r="Q134" s="504"/>
    </row>
    <row r="135" spans="2:17" s="17" customFormat="1">
      <c r="B135" s="238" t="s">
        <v>7</v>
      </c>
      <c r="C135" s="1044" t="str">
        <f>B31</f>
        <v>MÓDULO 1 - COMPOSIÇÃO DA REMUNERAÇÃO</v>
      </c>
      <c r="D135" s="1044"/>
      <c r="E135" s="1044"/>
      <c r="F135" s="1044"/>
      <c r="G135" s="1044"/>
      <c r="H135" s="1044"/>
      <c r="I135" s="1044"/>
      <c r="J135" s="1044"/>
      <c r="K135" s="355">
        <f>K42</f>
        <v>1784.7179999999998</v>
      </c>
      <c r="M135" s="595"/>
      <c r="N135" s="504"/>
      <c r="O135" s="504"/>
      <c r="P135" s="504"/>
      <c r="Q135" s="504"/>
    </row>
    <row r="136" spans="2:17" s="17" customFormat="1">
      <c r="B136" s="240" t="s">
        <v>8</v>
      </c>
      <c r="C136" s="1044" t="str">
        <f>B45</f>
        <v>MÓDULO 2 – ENCARGOS E BENEFÍCIOS ANUAIS, MENSAIS E DIÁRIOS</v>
      </c>
      <c r="D136" s="1044"/>
      <c r="E136" s="1044"/>
      <c r="F136" s="1044"/>
      <c r="G136" s="1044"/>
      <c r="H136" s="1044"/>
      <c r="I136" s="1044"/>
      <c r="J136" s="1044"/>
      <c r="K136" s="426">
        <f>K74</f>
        <v>1910.62</v>
      </c>
      <c r="M136" s="595"/>
      <c r="N136" s="504"/>
      <c r="O136" s="504"/>
      <c r="P136" s="504"/>
      <c r="Q136" s="504"/>
    </row>
    <row r="137" spans="2:17" s="17" customFormat="1">
      <c r="B137" s="240" t="s">
        <v>9</v>
      </c>
      <c r="C137" s="1044" t="str">
        <f>B75</f>
        <v>MÓDULO 3 – PROVISÃO PARA RESCISÃO</v>
      </c>
      <c r="D137" s="1044"/>
      <c r="E137" s="1044"/>
      <c r="F137" s="1044"/>
      <c r="G137" s="1044"/>
      <c r="H137" s="1044"/>
      <c r="I137" s="1044"/>
      <c r="J137" s="1044"/>
      <c r="K137" s="426">
        <f>K83</f>
        <v>120.26</v>
      </c>
      <c r="M137" s="595"/>
      <c r="N137" s="504"/>
      <c r="O137" s="504"/>
      <c r="P137" s="504"/>
      <c r="Q137" s="504"/>
    </row>
    <row r="138" spans="2:17" s="17" customFormat="1">
      <c r="B138" s="238" t="s">
        <v>10</v>
      </c>
      <c r="C138" s="1044" t="str">
        <f>B85</f>
        <v>MÓDULO 4 – CUSTO DE REPOSIÇÃO DO PROFISSIONAL AUSENTE</v>
      </c>
      <c r="D138" s="1044"/>
      <c r="E138" s="1044"/>
      <c r="F138" s="1044"/>
      <c r="G138" s="1044"/>
      <c r="H138" s="1044"/>
      <c r="I138" s="1044"/>
      <c r="J138" s="1044"/>
      <c r="K138" s="426">
        <f>K103</f>
        <v>176.33</v>
      </c>
      <c r="M138" s="595"/>
      <c r="N138" s="504"/>
      <c r="O138" s="504"/>
      <c r="P138" s="504"/>
      <c r="Q138" s="504"/>
    </row>
    <row r="139" spans="2:17" s="17" customFormat="1" ht="15.75" thickBot="1">
      <c r="B139" s="424" t="s">
        <v>11</v>
      </c>
      <c r="C139" s="1061" t="str">
        <f>B106</f>
        <v>MÓDULO 5 – INSUMOS DIVERSOS</v>
      </c>
      <c r="D139" s="1061"/>
      <c r="E139" s="1061"/>
      <c r="F139" s="1061"/>
      <c r="G139" s="1061"/>
      <c r="H139" s="1061"/>
      <c r="I139" s="1061"/>
      <c r="J139" s="1061"/>
      <c r="K139" s="427">
        <f>K112</f>
        <v>31.07</v>
      </c>
      <c r="M139" s="595"/>
      <c r="N139" s="504"/>
      <c r="O139" s="504"/>
      <c r="P139" s="504"/>
      <c r="Q139" s="504"/>
    </row>
    <row r="140" spans="2:17" s="17" customFormat="1">
      <c r="B140" s="1062" t="s">
        <v>74</v>
      </c>
      <c r="C140" s="1063"/>
      <c r="D140" s="1063"/>
      <c r="E140" s="1063"/>
      <c r="F140" s="1063"/>
      <c r="G140" s="1063"/>
      <c r="H140" s="1063"/>
      <c r="I140" s="1063"/>
      <c r="J140" s="1063"/>
      <c r="K140" s="430">
        <f>TRUNC(SUM(K135:K139),2)+0.01</f>
        <v>4023</v>
      </c>
      <c r="M140" s="595"/>
      <c r="N140" s="504"/>
      <c r="O140" s="504"/>
      <c r="P140" s="504"/>
      <c r="Q140" s="504"/>
    </row>
    <row r="141" spans="2:17" s="17" customFormat="1">
      <c r="B141" s="425" t="s">
        <v>13</v>
      </c>
      <c r="C141" s="1061" t="str">
        <f>B113</f>
        <v>MÓDULO 6 – CUSTOS INDIRETOS, TRIBUTOS E LUCRO</v>
      </c>
      <c r="D141" s="1061"/>
      <c r="E141" s="1061"/>
      <c r="F141" s="1061"/>
      <c r="G141" s="1061"/>
      <c r="H141" s="1061"/>
      <c r="I141" s="1061"/>
      <c r="J141" s="1061"/>
      <c r="K141" s="428">
        <f>K122</f>
        <v>550.29</v>
      </c>
      <c r="M141" s="595"/>
      <c r="N141" s="504"/>
      <c r="O141" s="504"/>
      <c r="P141" s="504"/>
      <c r="Q141" s="504"/>
    </row>
    <row r="142" spans="2:17" s="17" customFormat="1">
      <c r="B142" s="1064" t="s">
        <v>75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f>(K140+K116+K115)/(1-J124)</f>
        <v>4573.3114395183366</v>
      </c>
      <c r="M142" s="595"/>
      <c r="N142" s="504"/>
      <c r="O142" s="504"/>
      <c r="P142" s="504"/>
      <c r="Q142" s="504"/>
    </row>
    <row r="143" spans="2:17" s="17" customFormat="1">
      <c r="B143" s="1064" t="s">
        <v>100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v>1</v>
      </c>
      <c r="M143" s="503"/>
      <c r="N143" s="504"/>
      <c r="O143" s="504"/>
      <c r="P143" s="504"/>
      <c r="Q143" s="504"/>
    </row>
    <row r="144" spans="2:17" s="17" customFormat="1">
      <c r="B144" s="1064" t="s">
        <v>143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f>K142*K143</f>
        <v>4573.3114395183366</v>
      </c>
      <c r="L144" s="25"/>
      <c r="M144" s="595"/>
      <c r="N144" s="504"/>
      <c r="O144" s="504"/>
      <c r="P144" s="504"/>
      <c r="Q144" s="504"/>
    </row>
    <row r="145" spans="2:17" s="17" customFormat="1">
      <c r="B145" s="1064" t="s">
        <v>122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v>5</v>
      </c>
      <c r="L145" s="16"/>
      <c r="M145" s="503"/>
      <c r="N145" s="504"/>
      <c r="O145" s="504"/>
      <c r="P145" s="504"/>
      <c r="Q145" s="504"/>
    </row>
    <row r="146" spans="2:17" s="17" customFormat="1">
      <c r="B146" s="1064" t="s">
        <v>144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K144*K145</f>
        <v>22866.557197591683</v>
      </c>
      <c r="L146" s="132"/>
      <c r="M146" s="595"/>
      <c r="N146" s="504"/>
      <c r="O146" s="504"/>
      <c r="P146" s="504"/>
      <c r="Q146" s="504"/>
    </row>
    <row r="147" spans="2:17" s="17" customFormat="1">
      <c r="B147" s="1064" t="s">
        <v>145</v>
      </c>
      <c r="C147" s="1064"/>
      <c r="D147" s="1064"/>
      <c r="E147" s="1064"/>
      <c r="F147" s="1064"/>
      <c r="G147" s="1064"/>
      <c r="H147" s="1064"/>
      <c r="I147" s="1064"/>
      <c r="J147" s="1064"/>
      <c r="K147" s="347">
        <f>K146*12</f>
        <v>274398.68637110019</v>
      </c>
      <c r="M147" s="503"/>
      <c r="N147" s="504"/>
      <c r="O147" s="504"/>
      <c r="P147" s="504"/>
      <c r="Q147" s="504"/>
    </row>
    <row r="148" spans="2:17" s="29" customFormat="1">
      <c r="B148" s="234"/>
      <c r="C148" s="421"/>
      <c r="D148" s="421"/>
      <c r="E148" s="421"/>
      <c r="F148" s="421"/>
      <c r="G148" s="421"/>
      <c r="H148" s="421"/>
      <c r="I148" s="421"/>
      <c r="J148" s="421"/>
      <c r="K148" s="421"/>
      <c r="M148" s="595"/>
      <c r="N148" s="504"/>
      <c r="O148" s="504"/>
      <c r="P148" s="504"/>
      <c r="Q148" s="504"/>
    </row>
    <row r="149" spans="2:17" s="29" customFormat="1" ht="15" customHeight="1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s="29" customFormat="1" ht="15.75">
      <c r="B150" s="422"/>
      <c r="C150" s="422"/>
      <c r="D150" s="422"/>
      <c r="E150" s="422"/>
      <c r="F150" s="422"/>
      <c r="G150" s="422"/>
      <c r="H150" s="533"/>
      <c r="I150" s="533"/>
      <c r="J150" s="533"/>
      <c r="K150" s="533"/>
      <c r="M150" s="503"/>
      <c r="N150" s="504"/>
      <c r="O150" s="504"/>
      <c r="P150" s="504"/>
      <c r="Q150" s="504"/>
    </row>
    <row r="151" spans="2:17" s="29" customFormat="1" ht="15.75">
      <c r="B151" s="236"/>
      <c r="C151" s="236"/>
      <c r="D151" s="236"/>
      <c r="E151" s="236"/>
      <c r="F151" s="236"/>
      <c r="G151" s="236"/>
      <c r="H151" s="533"/>
      <c r="I151" s="533"/>
      <c r="J151" s="533"/>
      <c r="K151" s="533"/>
      <c r="M151" s="503"/>
      <c r="N151" s="504"/>
      <c r="O151" s="504"/>
      <c r="P151" s="504"/>
      <c r="Q151" s="504"/>
    </row>
    <row r="152" spans="2:17" s="423" customFormat="1" ht="15.75">
      <c r="B152" s="236"/>
      <c r="C152" s="236"/>
      <c r="D152" s="236"/>
      <c r="E152" s="236"/>
      <c r="F152" s="236"/>
      <c r="G152" s="236"/>
      <c r="H152" s="1059"/>
      <c r="I152" s="1059"/>
      <c r="J152" s="1059"/>
      <c r="K152" s="1059"/>
      <c r="M152" s="503"/>
      <c r="N152" s="504"/>
      <c r="O152" s="504"/>
      <c r="P152" s="504"/>
      <c r="Q152" s="504"/>
    </row>
    <row r="153" spans="2:17" s="423" customFormat="1" ht="15.75">
      <c r="B153" s="236"/>
      <c r="C153" s="236"/>
      <c r="D153" s="236"/>
      <c r="E153" s="236"/>
      <c r="F153" s="236"/>
      <c r="G153" s="236"/>
      <c r="H153" s="1060"/>
      <c r="I153" s="1060"/>
      <c r="J153" s="1060"/>
      <c r="K153" s="1060"/>
      <c r="M153" s="503"/>
      <c r="N153" s="504"/>
      <c r="O153" s="504"/>
      <c r="P153" s="504"/>
      <c r="Q153" s="504"/>
    </row>
  </sheetData>
  <mergeCells count="166">
    <mergeCell ref="H152:K152"/>
    <mergeCell ref="H153:K153"/>
    <mergeCell ref="B43:J43"/>
    <mergeCell ref="B142:J142"/>
    <mergeCell ref="B143:J143"/>
    <mergeCell ref="B144:J144"/>
    <mergeCell ref="B145:J145"/>
    <mergeCell ref="B146:J146"/>
    <mergeCell ref="B147:J147"/>
    <mergeCell ref="C136:J136"/>
    <mergeCell ref="C137:J137"/>
    <mergeCell ref="C138:J138"/>
    <mergeCell ref="C139:J139"/>
    <mergeCell ref="B140:J140"/>
    <mergeCell ref="C141:J141"/>
    <mergeCell ref="D127:I127"/>
    <mergeCell ref="D129:I129"/>
    <mergeCell ref="D131:I131"/>
    <mergeCell ref="B133:K133"/>
    <mergeCell ref="B134:J134"/>
    <mergeCell ref="C135:J135"/>
    <mergeCell ref="C121:I121"/>
    <mergeCell ref="B122:I122"/>
    <mergeCell ref="D123:K123"/>
    <mergeCell ref="D124:I124"/>
    <mergeCell ref="J124:K125"/>
    <mergeCell ref="D125:I125"/>
    <mergeCell ref="C115:I115"/>
    <mergeCell ref="C116:I116"/>
    <mergeCell ref="C117:K117"/>
    <mergeCell ref="C118:I118"/>
    <mergeCell ref="C119:I119"/>
    <mergeCell ref="C120:I120"/>
    <mergeCell ref="C108:I108"/>
    <mergeCell ref="C109:I109"/>
    <mergeCell ref="C111:I111"/>
    <mergeCell ref="B112:I112"/>
    <mergeCell ref="B113:K113"/>
    <mergeCell ref="C114:I114"/>
    <mergeCell ref="C102:J102"/>
    <mergeCell ref="B103:J103"/>
    <mergeCell ref="B104:I104"/>
    <mergeCell ref="B105:K105"/>
    <mergeCell ref="B106:K106"/>
    <mergeCell ref="C107:J107"/>
    <mergeCell ref="C110:I110"/>
    <mergeCell ref="B95:J95"/>
    <mergeCell ref="C96:J96"/>
    <mergeCell ref="B97:J97"/>
    <mergeCell ref="B99:K99"/>
    <mergeCell ref="B100:J100"/>
    <mergeCell ref="C101:J101"/>
    <mergeCell ref="C89:I89"/>
    <mergeCell ref="C90:I90"/>
    <mergeCell ref="C91:I91"/>
    <mergeCell ref="C92:I92"/>
    <mergeCell ref="B93:I93"/>
    <mergeCell ref="B94:K94"/>
    <mergeCell ref="B83:I83"/>
    <mergeCell ref="C84:K84"/>
    <mergeCell ref="B85:K85"/>
    <mergeCell ref="B86:I86"/>
    <mergeCell ref="C87:I87"/>
    <mergeCell ref="C88:I88"/>
    <mergeCell ref="C77:I77"/>
    <mergeCell ref="C78:I78"/>
    <mergeCell ref="C79:I79"/>
    <mergeCell ref="C80:I80"/>
    <mergeCell ref="C81:I81"/>
    <mergeCell ref="C82:I82"/>
    <mergeCell ref="C71:J71"/>
    <mergeCell ref="C72:J72"/>
    <mergeCell ref="C73:J73"/>
    <mergeCell ref="C74:J74"/>
    <mergeCell ref="B75:K75"/>
    <mergeCell ref="C76:I76"/>
    <mergeCell ref="C65:J65"/>
    <mergeCell ref="M66:N66"/>
    <mergeCell ref="B67:J67"/>
    <mergeCell ref="C68:K68"/>
    <mergeCell ref="B69:K69"/>
    <mergeCell ref="B70:J70"/>
    <mergeCell ref="M73:P73"/>
    <mergeCell ref="B60:I60"/>
    <mergeCell ref="C61:K61"/>
    <mergeCell ref="M61:N61"/>
    <mergeCell ref="B62:J62"/>
    <mergeCell ref="C63:J63"/>
    <mergeCell ref="C64:J64"/>
    <mergeCell ref="C55:I55"/>
    <mergeCell ref="C56:I56"/>
    <mergeCell ref="C57:I57"/>
    <mergeCell ref="C58:I58"/>
    <mergeCell ref="C59:I59"/>
    <mergeCell ref="M59:N59"/>
    <mergeCell ref="M50:N50"/>
    <mergeCell ref="B51:I51"/>
    <mergeCell ref="C52:I52"/>
    <mergeCell ref="M52:N52"/>
    <mergeCell ref="C53:I53"/>
    <mergeCell ref="C54:I54"/>
    <mergeCell ref="B45:K45"/>
    <mergeCell ref="B46:I46"/>
    <mergeCell ref="C47:I47"/>
    <mergeCell ref="C48:I48"/>
    <mergeCell ref="B49:I49"/>
    <mergeCell ref="B50:K50"/>
    <mergeCell ref="C39:I39"/>
    <mergeCell ref="C40:I40"/>
    <mergeCell ref="B41:J41"/>
    <mergeCell ref="B42:J42"/>
    <mergeCell ref="N43:Q43"/>
    <mergeCell ref="M44:N44"/>
    <mergeCell ref="C34:I34"/>
    <mergeCell ref="C35:I35"/>
    <mergeCell ref="M35:Q35"/>
    <mergeCell ref="C36:I36"/>
    <mergeCell ref="C37:I37"/>
    <mergeCell ref="C38:I38"/>
    <mergeCell ref="M38:P38"/>
    <mergeCell ref="C29:J29"/>
    <mergeCell ref="C30:K30"/>
    <mergeCell ref="B31:K31"/>
    <mergeCell ref="C32:I32"/>
    <mergeCell ref="C33:I33"/>
    <mergeCell ref="M33:P33"/>
    <mergeCell ref="B24:K24"/>
    <mergeCell ref="C25:J25"/>
    <mergeCell ref="C26:J26"/>
    <mergeCell ref="M26:P26"/>
    <mergeCell ref="C27:J27"/>
    <mergeCell ref="C28:J28"/>
    <mergeCell ref="M28:Q28"/>
    <mergeCell ref="B17:K17"/>
    <mergeCell ref="B19:G19"/>
    <mergeCell ref="I19:K19"/>
    <mergeCell ref="B20:G20"/>
    <mergeCell ref="I20:K20"/>
    <mergeCell ref="B22:K22"/>
    <mergeCell ref="C13:G13"/>
    <mergeCell ref="H13:K13"/>
    <mergeCell ref="M13:P13"/>
    <mergeCell ref="C14:G14"/>
    <mergeCell ref="H14:K14"/>
    <mergeCell ref="C15:G15"/>
    <mergeCell ref="H15:K15"/>
    <mergeCell ref="M15:Q15"/>
    <mergeCell ref="B10:K10"/>
    <mergeCell ref="B11:K11"/>
    <mergeCell ref="C12:G12"/>
    <mergeCell ref="H12:K12"/>
    <mergeCell ref="B4:K4"/>
    <mergeCell ref="M4:Q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  <mergeCell ref="C8:G8"/>
    <mergeCell ref="H8:K8"/>
    <mergeCell ref="H9:K9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3" orientation="portrait" r:id="rId1"/>
  <rowBreaks count="1" manualBreakCount="1">
    <brk id="83" min="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B1:S153"/>
  <sheetViews>
    <sheetView view="pageBreakPreview" topLeftCell="B72" zoomScale="90" zoomScaleNormal="55" zoomScaleSheetLayoutView="90" workbookViewId="0">
      <selection activeCell="C72" sqref="C72:J72"/>
    </sheetView>
  </sheetViews>
  <sheetFormatPr defaultRowHeight="15"/>
  <cols>
    <col min="1" max="1" width="4.5703125" style="2" customWidth="1"/>
    <col min="2" max="2" width="5.42578125" style="236" customWidth="1"/>
    <col min="3" max="3" width="3.5703125" style="236" customWidth="1"/>
    <col min="4" max="4" width="9.140625" style="236"/>
    <col min="5" max="5" width="12.7109375" style="236" customWidth="1"/>
    <col min="6" max="6" width="9.140625" style="236"/>
    <col min="7" max="7" width="31.140625" style="236" customWidth="1"/>
    <col min="8" max="8" width="22" style="236" customWidth="1"/>
    <col min="9" max="9" width="7.7109375" style="236" customWidth="1"/>
    <col min="10" max="10" width="13.140625" style="236" customWidth="1"/>
    <col min="11" max="11" width="17.5703125" style="236" customWidth="1"/>
    <col min="12" max="12" width="9" style="2" bestFit="1" customWidth="1"/>
    <col min="13" max="13" width="40.85546875" style="503" customWidth="1"/>
    <col min="14" max="14" width="13.85546875" style="504" customWidth="1"/>
    <col min="15" max="15" width="18" style="504" bestFit="1" customWidth="1"/>
    <col min="16" max="16" width="21.42578125" style="504" customWidth="1"/>
    <col min="17" max="17" width="18.5703125" style="504" customWidth="1"/>
    <col min="18" max="19" width="13.7109375" style="2" bestFit="1" customWidth="1"/>
    <col min="20" max="16384" width="9.140625" style="2"/>
  </cols>
  <sheetData>
    <row r="1" spans="2:18" s="6" customFormat="1" ht="14.45" customHeight="1">
      <c r="B1" s="987"/>
      <c r="C1" s="987"/>
      <c r="D1" s="987"/>
      <c r="E1" s="987"/>
      <c r="F1" s="987"/>
      <c r="G1" s="987"/>
      <c r="H1" s="987"/>
      <c r="I1" s="987"/>
      <c r="J1" s="987"/>
      <c r="K1" s="987"/>
      <c r="L1" s="5"/>
      <c r="M1" s="988"/>
      <c r="N1" s="988"/>
      <c r="O1" s="988"/>
      <c r="P1" s="988"/>
      <c r="Q1" s="988"/>
    </row>
    <row r="2" spans="2:18" s="6" customFormat="1" ht="12.75">
      <c r="B2" s="989"/>
      <c r="C2" s="990"/>
      <c r="D2" s="990"/>
      <c r="E2" s="990"/>
      <c r="F2" s="990"/>
      <c r="G2" s="990"/>
      <c r="H2" s="990"/>
      <c r="I2" s="990"/>
      <c r="J2" s="990"/>
      <c r="K2" s="991"/>
      <c r="L2" s="5"/>
      <c r="M2" s="992" t="s">
        <v>139</v>
      </c>
      <c r="N2" s="993"/>
      <c r="O2" s="993"/>
      <c r="P2" s="993"/>
      <c r="Q2" s="994"/>
    </row>
    <row r="3" spans="2:18" s="6" customFormat="1" ht="16.5" customHeight="1" thickBot="1">
      <c r="B3" s="995"/>
      <c r="C3" s="996"/>
      <c r="D3" s="996"/>
      <c r="E3" s="996"/>
      <c r="F3" s="996"/>
      <c r="G3" s="996"/>
      <c r="H3" s="996"/>
      <c r="I3" s="996"/>
      <c r="J3" s="342"/>
      <c r="K3" s="343"/>
      <c r="L3" s="5"/>
      <c r="M3" s="997"/>
      <c r="N3" s="997"/>
      <c r="O3" s="997"/>
      <c r="P3" s="997"/>
      <c r="Q3" s="997"/>
    </row>
    <row r="4" spans="2:18" s="6" customFormat="1" ht="12.75">
      <c r="B4" s="1011" t="s">
        <v>23</v>
      </c>
      <c r="C4" s="1012"/>
      <c r="D4" s="1012"/>
      <c r="E4" s="1012"/>
      <c r="F4" s="1012"/>
      <c r="G4" s="1012"/>
      <c r="H4" s="1012"/>
      <c r="I4" s="1012"/>
      <c r="J4" s="1012"/>
      <c r="K4" s="1013"/>
      <c r="L4" s="5"/>
      <c r="M4" s="998" t="s">
        <v>187</v>
      </c>
      <c r="N4" s="999"/>
      <c r="O4" s="999"/>
      <c r="P4" s="999"/>
      <c r="Q4" s="1000"/>
    </row>
    <row r="5" spans="2:18" s="6" customFormat="1" ht="17.25" customHeight="1">
      <c r="B5" s="1014" t="s">
        <v>433</v>
      </c>
      <c r="C5" s="1014"/>
      <c r="D5" s="1014"/>
      <c r="E5" s="1014"/>
      <c r="F5" s="1014"/>
      <c r="G5" s="1014"/>
      <c r="H5" s="1014"/>
      <c r="I5" s="1014"/>
      <c r="J5" s="1014"/>
      <c r="K5" s="1014"/>
      <c r="L5" s="5"/>
      <c r="M5" s="589" t="s">
        <v>114</v>
      </c>
      <c r="N5" s="320" t="s">
        <v>115</v>
      </c>
      <c r="O5" s="320" t="s">
        <v>116</v>
      </c>
      <c r="P5" s="320" t="s">
        <v>117</v>
      </c>
      <c r="Q5" s="590" t="s">
        <v>97</v>
      </c>
    </row>
    <row r="6" spans="2:18" s="6" customFormat="1" ht="12.75">
      <c r="B6" s="614" t="s">
        <v>128</v>
      </c>
      <c r="C6" s="313" t="s">
        <v>129</v>
      </c>
      <c r="D6" s="314"/>
      <c r="E6" s="314"/>
      <c r="F6" s="314"/>
      <c r="G6" s="314"/>
      <c r="H6" s="1015">
        <v>44503</v>
      </c>
      <c r="I6" s="1015"/>
      <c r="J6" s="1015"/>
      <c r="K6" s="1015"/>
      <c r="L6" s="5"/>
      <c r="M6" s="591" t="s">
        <v>356</v>
      </c>
      <c r="N6" s="322">
        <v>4</v>
      </c>
      <c r="O6" s="510">
        <v>20</v>
      </c>
      <c r="P6" s="322">
        <v>0</v>
      </c>
      <c r="Q6" s="592">
        <f t="shared" ref="Q6:Q12" si="0">N6*O6</f>
        <v>80</v>
      </c>
    </row>
    <row r="7" spans="2:18" s="6" customFormat="1" ht="12.75">
      <c r="B7" s="614" t="s">
        <v>8</v>
      </c>
      <c r="C7" s="1001" t="s">
        <v>130</v>
      </c>
      <c r="D7" s="1002"/>
      <c r="E7" s="1002"/>
      <c r="F7" s="1002"/>
      <c r="G7" s="1003"/>
      <c r="H7" s="1015" t="s">
        <v>311</v>
      </c>
      <c r="I7" s="1015"/>
      <c r="J7" s="1015"/>
      <c r="K7" s="1015"/>
      <c r="L7" s="5"/>
      <c r="M7" s="591" t="s">
        <v>357</v>
      </c>
      <c r="N7" s="322">
        <v>4</v>
      </c>
      <c r="O7" s="510">
        <v>20</v>
      </c>
      <c r="P7" s="322">
        <v>0</v>
      </c>
      <c r="Q7" s="592">
        <f t="shared" si="0"/>
        <v>80</v>
      </c>
    </row>
    <row r="8" spans="2:18" s="6" customFormat="1" ht="12.75">
      <c r="B8" s="614" t="s">
        <v>9</v>
      </c>
      <c r="C8" s="1001" t="s">
        <v>131</v>
      </c>
      <c r="D8" s="1002"/>
      <c r="E8" s="1002"/>
      <c r="F8" s="1002"/>
      <c r="G8" s="1003"/>
      <c r="H8" s="1004" t="s">
        <v>312</v>
      </c>
      <c r="I8" s="1004"/>
      <c r="J8" s="1004"/>
      <c r="K8" s="1004"/>
      <c r="L8" s="5"/>
      <c r="M8" s="591" t="s">
        <v>124</v>
      </c>
      <c r="N8" s="322">
        <v>2</v>
      </c>
      <c r="O8" s="510">
        <v>30</v>
      </c>
      <c r="P8" s="322">
        <v>0</v>
      </c>
      <c r="Q8" s="592">
        <f t="shared" si="0"/>
        <v>60</v>
      </c>
    </row>
    <row r="9" spans="2:18" s="6" customFormat="1" ht="12.75">
      <c r="B9" s="614" t="s">
        <v>10</v>
      </c>
      <c r="C9" s="313" t="s">
        <v>132</v>
      </c>
      <c r="D9" s="314"/>
      <c r="E9" s="314"/>
      <c r="F9" s="314"/>
      <c r="G9" s="314"/>
      <c r="H9" s="1004">
        <v>12</v>
      </c>
      <c r="I9" s="1004"/>
      <c r="J9" s="1004"/>
      <c r="K9" s="1004"/>
      <c r="L9" s="5"/>
      <c r="M9" s="591" t="s">
        <v>148</v>
      </c>
      <c r="N9" s="322">
        <v>4</v>
      </c>
      <c r="O9" s="510">
        <v>5</v>
      </c>
      <c r="P9" s="322">
        <v>0</v>
      </c>
      <c r="Q9" s="592">
        <f t="shared" si="0"/>
        <v>20</v>
      </c>
    </row>
    <row r="10" spans="2:18" s="6" customFormat="1" ht="12.75">
      <c r="B10" s="1005" t="s">
        <v>133</v>
      </c>
      <c r="C10" s="1005"/>
      <c r="D10" s="1005"/>
      <c r="E10" s="1005"/>
      <c r="F10" s="1005"/>
      <c r="G10" s="1005"/>
      <c r="H10" s="1005"/>
      <c r="I10" s="1005"/>
      <c r="J10" s="1005"/>
      <c r="K10" s="1005"/>
      <c r="L10" s="5"/>
      <c r="M10" s="591" t="s">
        <v>163</v>
      </c>
      <c r="N10" s="322">
        <v>2</v>
      </c>
      <c r="O10" s="510">
        <v>10</v>
      </c>
      <c r="P10" s="322">
        <v>0</v>
      </c>
      <c r="Q10" s="592">
        <f t="shared" si="0"/>
        <v>20</v>
      </c>
    </row>
    <row r="11" spans="2:18" s="6" customFormat="1" ht="12.75">
      <c r="B11" s="1006" t="s">
        <v>134</v>
      </c>
      <c r="C11" s="1006"/>
      <c r="D11" s="1006"/>
      <c r="E11" s="1006"/>
      <c r="F11" s="1006"/>
      <c r="G11" s="1006"/>
      <c r="H11" s="1006"/>
      <c r="I11" s="1006"/>
      <c r="J11" s="1006"/>
      <c r="K11" s="1006"/>
      <c r="L11" s="5"/>
      <c r="M11" s="591" t="s">
        <v>358</v>
      </c>
      <c r="N11" s="322">
        <v>2</v>
      </c>
      <c r="O11" s="510">
        <v>8</v>
      </c>
      <c r="P11" s="322">
        <v>0</v>
      </c>
      <c r="Q11" s="592">
        <f t="shared" si="0"/>
        <v>16</v>
      </c>
    </row>
    <row r="12" spans="2:18" s="6" customFormat="1" ht="12.75">
      <c r="B12" s="315">
        <v>1</v>
      </c>
      <c r="C12" s="1007" t="s">
        <v>25</v>
      </c>
      <c r="D12" s="1008"/>
      <c r="E12" s="1008"/>
      <c r="F12" s="1008"/>
      <c r="G12" s="1009"/>
      <c r="H12" s="1010" t="str">
        <f>B5</f>
        <v>Vigilância Armada 44H SEMANAIS - LÍDER</v>
      </c>
      <c r="I12" s="1010"/>
      <c r="J12" s="1010"/>
      <c r="K12" s="1010"/>
      <c r="L12" s="5"/>
      <c r="M12" s="591" t="s">
        <v>359</v>
      </c>
      <c r="N12" s="322">
        <v>2</v>
      </c>
      <c r="O12" s="510">
        <v>10</v>
      </c>
      <c r="P12" s="322">
        <v>0</v>
      </c>
      <c r="Q12" s="592">
        <f t="shared" si="0"/>
        <v>20</v>
      </c>
    </row>
    <row r="13" spans="2:18" s="6" customFormat="1" ht="13.5" thickBot="1">
      <c r="B13" s="315">
        <v>2</v>
      </c>
      <c r="C13" s="1007" t="s">
        <v>135</v>
      </c>
      <c r="D13" s="1008"/>
      <c r="E13" s="1008"/>
      <c r="F13" s="1008"/>
      <c r="G13" s="1009"/>
      <c r="H13" s="1024" t="s">
        <v>375</v>
      </c>
      <c r="I13" s="1024"/>
      <c r="J13" s="1024"/>
      <c r="K13" s="1024"/>
      <c r="L13" s="5"/>
      <c r="M13" s="1022" t="s">
        <v>147</v>
      </c>
      <c r="N13" s="1023"/>
      <c r="O13" s="1023"/>
      <c r="P13" s="1023"/>
      <c r="Q13" s="669">
        <f>SUM(Q6:Q12)/33</f>
        <v>8.9696969696969688</v>
      </c>
      <c r="R13" s="681"/>
    </row>
    <row r="14" spans="2:18" s="6" customFormat="1" ht="12.75">
      <c r="B14" s="315">
        <v>3</v>
      </c>
      <c r="C14" s="1007" t="s">
        <v>137</v>
      </c>
      <c r="D14" s="1008"/>
      <c r="E14" s="1008"/>
      <c r="F14" s="1008"/>
      <c r="G14" s="1009"/>
      <c r="H14" s="1025">
        <v>1372.86</v>
      </c>
      <c r="I14" s="1025"/>
      <c r="J14" s="1025"/>
      <c r="K14" s="1025"/>
      <c r="L14" s="5"/>
      <c r="M14" s="586"/>
      <c r="N14" s="587"/>
      <c r="O14" s="588"/>
      <c r="P14" s="587"/>
      <c r="Q14" s="588"/>
    </row>
    <row r="15" spans="2:18" s="6" customFormat="1" ht="12.75">
      <c r="B15" s="315">
        <v>4</v>
      </c>
      <c r="C15" s="1007" t="s">
        <v>138</v>
      </c>
      <c r="D15" s="1008"/>
      <c r="E15" s="1008"/>
      <c r="F15" s="1008"/>
      <c r="G15" s="1009"/>
      <c r="H15" s="1026">
        <v>44197</v>
      </c>
      <c r="I15" s="1024"/>
      <c r="J15" s="1024"/>
      <c r="K15" s="1024"/>
      <c r="L15" s="5"/>
      <c r="M15" s="986" t="s">
        <v>360</v>
      </c>
      <c r="N15" s="986"/>
      <c r="O15" s="986"/>
      <c r="P15" s="986"/>
      <c r="Q15" s="986"/>
    </row>
    <row r="16" spans="2:18" s="17" customFormat="1" ht="12.75">
      <c r="B16" s="291"/>
      <c r="C16" s="606"/>
      <c r="D16" s="602"/>
      <c r="E16" s="602"/>
      <c r="F16" s="602"/>
      <c r="G16" s="602"/>
      <c r="H16" s="602"/>
      <c r="I16" s="602"/>
      <c r="J16" s="602"/>
      <c r="K16" s="607"/>
      <c r="M16" s="594" t="s">
        <v>114</v>
      </c>
      <c r="N16" s="324" t="s">
        <v>115</v>
      </c>
      <c r="O16" s="324" t="s">
        <v>116</v>
      </c>
      <c r="P16" s="324" t="s">
        <v>117</v>
      </c>
      <c r="Q16" s="324" t="s">
        <v>97</v>
      </c>
    </row>
    <row r="17" spans="2:18" s="17" customFormat="1" ht="12.75">
      <c r="B17" s="1016" t="s">
        <v>76</v>
      </c>
      <c r="C17" s="1016"/>
      <c r="D17" s="1016"/>
      <c r="E17" s="1016"/>
      <c r="F17" s="1016"/>
      <c r="G17" s="1016"/>
      <c r="H17" s="1016"/>
      <c r="I17" s="1016"/>
      <c r="J17" s="1016"/>
      <c r="K17" s="1016"/>
      <c r="M17" s="325" t="s">
        <v>361</v>
      </c>
      <c r="N17" s="326">
        <v>10</v>
      </c>
      <c r="O17" s="515">
        <v>109.2</v>
      </c>
      <c r="P17" s="326">
        <v>24</v>
      </c>
      <c r="Q17" s="516">
        <f>(N17*O17)/P17</f>
        <v>45.5</v>
      </c>
    </row>
    <row r="18" spans="2:18" s="17" customFormat="1" ht="12.75">
      <c r="B18" s="291"/>
      <c r="C18" s="606"/>
      <c r="D18" s="602"/>
      <c r="E18" s="602"/>
      <c r="F18" s="602"/>
      <c r="G18" s="602"/>
      <c r="H18" s="602"/>
      <c r="I18" s="602"/>
      <c r="J18" s="606"/>
      <c r="K18" s="607"/>
      <c r="M18" s="327" t="s">
        <v>362</v>
      </c>
      <c r="N18" s="326">
        <v>4</v>
      </c>
      <c r="O18" s="515">
        <v>10</v>
      </c>
      <c r="P18" s="326">
        <v>12</v>
      </c>
      <c r="Q18" s="515">
        <f>N18*O18/P18</f>
        <v>3.3333333333333335</v>
      </c>
    </row>
    <row r="19" spans="2:18" s="17" customFormat="1" ht="12.75">
      <c r="B19" s="1017" t="s">
        <v>25</v>
      </c>
      <c r="C19" s="1017"/>
      <c r="D19" s="1017"/>
      <c r="E19" s="1017"/>
      <c r="F19" s="1017"/>
      <c r="G19" s="1017"/>
      <c r="H19" s="613" t="s">
        <v>26</v>
      </c>
      <c r="I19" s="1018" t="s">
        <v>336</v>
      </c>
      <c r="J19" s="1018"/>
      <c r="K19" s="1018"/>
      <c r="M19" s="328" t="s">
        <v>363</v>
      </c>
      <c r="N19" s="326">
        <v>22</v>
      </c>
      <c r="O19" s="515">
        <v>10</v>
      </c>
      <c r="P19" s="326">
        <v>12</v>
      </c>
      <c r="Q19" s="515">
        <f t="shared" ref="Q19" si="1">(N19*O19)/P19</f>
        <v>18.333333333333332</v>
      </c>
    </row>
    <row r="20" spans="2:18" s="17" customFormat="1" ht="12.75">
      <c r="B20" s="1019" t="str">
        <f>H12</f>
        <v>Vigilância Armada 44H SEMANAIS - LÍDER</v>
      </c>
      <c r="C20" s="1020"/>
      <c r="D20" s="1020"/>
      <c r="E20" s="1020"/>
      <c r="F20" s="1020"/>
      <c r="G20" s="1020"/>
      <c r="H20" s="317" t="s">
        <v>94</v>
      </c>
      <c r="I20" s="1021">
        <v>1</v>
      </c>
      <c r="J20" s="1021"/>
      <c r="K20" s="1021"/>
      <c r="M20" s="328" t="s">
        <v>364</v>
      </c>
      <c r="N20" s="322">
        <v>8</v>
      </c>
      <c r="O20" s="510">
        <v>10</v>
      </c>
      <c r="P20" s="322">
        <v>60</v>
      </c>
      <c r="Q20" s="510">
        <f>(N20*O20)/P20</f>
        <v>1.3333333333333333</v>
      </c>
    </row>
    <row r="21" spans="2:18" s="17" customFormat="1" ht="12.75">
      <c r="B21" s="291"/>
      <c r="C21" s="606"/>
      <c r="D21" s="602"/>
      <c r="E21" s="602"/>
      <c r="F21" s="602"/>
      <c r="G21" s="602"/>
      <c r="H21" s="602"/>
      <c r="I21" s="602"/>
      <c r="J21" s="602"/>
      <c r="K21" s="607"/>
      <c r="M21" s="321" t="s">
        <v>365</v>
      </c>
      <c r="N21" s="322">
        <v>8</v>
      </c>
      <c r="O21" s="510">
        <v>11</v>
      </c>
      <c r="P21" s="322">
        <v>12</v>
      </c>
      <c r="Q21" s="510">
        <f>(N21*O21)/P21</f>
        <v>7.333333333333333</v>
      </c>
    </row>
    <row r="22" spans="2:18" s="17" customFormat="1" ht="25.5">
      <c r="B22" s="1005" t="s">
        <v>140</v>
      </c>
      <c r="C22" s="1005"/>
      <c r="D22" s="1005"/>
      <c r="E22" s="1005"/>
      <c r="F22" s="1005"/>
      <c r="G22" s="1005"/>
      <c r="H22" s="1005"/>
      <c r="I22" s="1005"/>
      <c r="J22" s="1005"/>
      <c r="K22" s="1005"/>
      <c r="M22" s="328" t="s">
        <v>366</v>
      </c>
      <c r="N22" s="322">
        <v>22</v>
      </c>
      <c r="O22" s="510">
        <v>80</v>
      </c>
      <c r="P22" s="322">
        <v>24</v>
      </c>
      <c r="Q22" s="510">
        <f t="shared" ref="Q22:Q25" si="2">(N22*O22)/P22</f>
        <v>73.333333333333329</v>
      </c>
    </row>
    <row r="23" spans="2:18" s="17" customFormat="1" ht="12.75">
      <c r="B23" s="291"/>
      <c r="C23" s="602"/>
      <c r="D23" s="602"/>
      <c r="E23" s="602"/>
      <c r="F23" s="602"/>
      <c r="G23" s="602"/>
      <c r="H23" s="602"/>
      <c r="I23" s="602"/>
      <c r="J23" s="602"/>
      <c r="K23" s="607"/>
      <c r="M23" s="328" t="s">
        <v>367</v>
      </c>
      <c r="N23" s="322">
        <v>4</v>
      </c>
      <c r="O23" s="510">
        <v>80</v>
      </c>
      <c r="P23" s="322">
        <v>60</v>
      </c>
      <c r="Q23" s="510">
        <f t="shared" si="2"/>
        <v>5.333333333333333</v>
      </c>
      <c r="R23" s="131"/>
    </row>
    <row r="24" spans="2:18" s="17" customFormat="1" ht="12.75">
      <c r="B24" s="1030" t="s">
        <v>38</v>
      </c>
      <c r="C24" s="1030"/>
      <c r="D24" s="1030"/>
      <c r="E24" s="1030"/>
      <c r="F24" s="1030"/>
      <c r="G24" s="1030"/>
      <c r="H24" s="1030"/>
      <c r="I24" s="1030"/>
      <c r="J24" s="1030"/>
      <c r="K24" s="1030"/>
      <c r="M24" s="328" t="s">
        <v>368</v>
      </c>
      <c r="N24" s="322">
        <v>3</v>
      </c>
      <c r="O24" s="510">
        <v>100</v>
      </c>
      <c r="P24" s="322">
        <v>24</v>
      </c>
      <c r="Q24" s="510">
        <f t="shared" si="2"/>
        <v>12.5</v>
      </c>
    </row>
    <row r="25" spans="2:18" s="17" customFormat="1" ht="12.75">
      <c r="B25" s="238">
        <v>1</v>
      </c>
      <c r="C25" s="1032" t="s">
        <v>81</v>
      </c>
      <c r="D25" s="1033"/>
      <c r="E25" s="1033"/>
      <c r="F25" s="1033"/>
      <c r="G25" s="1033"/>
      <c r="H25" s="1033"/>
      <c r="I25" s="1008"/>
      <c r="J25" s="1009"/>
      <c r="K25" s="238" t="s">
        <v>259</v>
      </c>
      <c r="M25" s="328" t="s">
        <v>369</v>
      </c>
      <c r="N25" s="322">
        <v>2</v>
      </c>
      <c r="O25" s="510">
        <v>50</v>
      </c>
      <c r="P25" s="322">
        <v>12</v>
      </c>
      <c r="Q25" s="510">
        <f t="shared" si="2"/>
        <v>8.3333333333333339</v>
      </c>
      <c r="R25" s="131"/>
    </row>
    <row r="26" spans="2:18" s="17" customFormat="1" ht="12.75">
      <c r="B26" s="238">
        <v>2</v>
      </c>
      <c r="C26" s="1027" t="s">
        <v>39</v>
      </c>
      <c r="D26" s="1027"/>
      <c r="E26" s="1027"/>
      <c r="F26" s="1027"/>
      <c r="G26" s="1027"/>
      <c r="H26" s="1027"/>
      <c r="I26" s="1027"/>
      <c r="J26" s="1027"/>
      <c r="K26" s="238" t="s">
        <v>121</v>
      </c>
      <c r="M26" s="986" t="s">
        <v>147</v>
      </c>
      <c r="N26" s="986"/>
      <c r="O26" s="986"/>
      <c r="P26" s="986"/>
      <c r="Q26" s="668">
        <f>SUM(Q17:Q25)/22</f>
        <v>7.9696969696969697</v>
      </c>
      <c r="R26" s="25"/>
    </row>
    <row r="27" spans="2:18" s="17" customFormat="1" ht="12.75">
      <c r="B27" s="238">
        <v>3</v>
      </c>
      <c r="C27" s="1027" t="s">
        <v>6</v>
      </c>
      <c r="D27" s="1027"/>
      <c r="E27" s="1027"/>
      <c r="F27" s="1027"/>
      <c r="G27" s="1027"/>
      <c r="H27" s="1027"/>
      <c r="I27" s="1027"/>
      <c r="J27" s="1027"/>
      <c r="K27" s="282">
        <f>H14</f>
        <v>1372.86</v>
      </c>
    </row>
    <row r="28" spans="2:18" s="17" customFormat="1" ht="12.75">
      <c r="B28" s="238">
        <v>4</v>
      </c>
      <c r="C28" s="1027" t="s">
        <v>351</v>
      </c>
      <c r="D28" s="1027"/>
      <c r="E28" s="1027"/>
      <c r="F28" s="1027"/>
      <c r="G28" s="1027"/>
      <c r="H28" s="1027"/>
      <c r="I28" s="1027"/>
      <c r="J28" s="1027"/>
      <c r="K28" s="238" t="s">
        <v>108</v>
      </c>
      <c r="M28" s="986" t="s">
        <v>354</v>
      </c>
      <c r="N28" s="986"/>
      <c r="O28" s="986"/>
      <c r="P28" s="986"/>
      <c r="Q28" s="986"/>
    </row>
    <row r="29" spans="2:18" s="17" customFormat="1" ht="12.75">
      <c r="B29" s="238">
        <v>6</v>
      </c>
      <c r="C29" s="1027" t="s">
        <v>5</v>
      </c>
      <c r="D29" s="1027"/>
      <c r="E29" s="1027"/>
      <c r="F29" s="1027"/>
      <c r="G29" s="1027"/>
      <c r="H29" s="1027"/>
      <c r="I29" s="1027"/>
      <c r="J29" s="1027"/>
      <c r="K29" s="283">
        <v>43831</v>
      </c>
      <c r="M29" s="323" t="s">
        <v>114</v>
      </c>
      <c r="N29" s="324" t="s">
        <v>115</v>
      </c>
      <c r="O29" s="324" t="s">
        <v>116</v>
      </c>
      <c r="P29" s="324" t="s">
        <v>117</v>
      </c>
      <c r="Q29" s="324" t="s">
        <v>97</v>
      </c>
    </row>
    <row r="30" spans="2:18" s="17" customFormat="1" ht="12.75">
      <c r="B30" s="291"/>
      <c r="C30" s="1028"/>
      <c r="D30" s="1028"/>
      <c r="E30" s="1028"/>
      <c r="F30" s="1028"/>
      <c r="G30" s="1028"/>
      <c r="H30" s="1028"/>
      <c r="I30" s="1028"/>
      <c r="J30" s="1028"/>
      <c r="K30" s="1029"/>
      <c r="M30" s="328" t="s">
        <v>220</v>
      </c>
      <c r="N30" s="322">
        <v>10</v>
      </c>
      <c r="O30" s="510">
        <v>280</v>
      </c>
      <c r="P30" s="326">
        <v>120</v>
      </c>
      <c r="Q30" s="516">
        <f>(N30*O30)/P30</f>
        <v>23.333333333333332</v>
      </c>
    </row>
    <row r="31" spans="2:18" s="17" customFormat="1" ht="12.75">
      <c r="B31" s="1030" t="s">
        <v>23</v>
      </c>
      <c r="C31" s="1030"/>
      <c r="D31" s="1030"/>
      <c r="E31" s="1030"/>
      <c r="F31" s="1030"/>
      <c r="G31" s="1030"/>
      <c r="H31" s="1030"/>
      <c r="I31" s="1030"/>
      <c r="J31" s="1030"/>
      <c r="K31" s="1030"/>
      <c r="M31" s="328" t="s">
        <v>342</v>
      </c>
      <c r="N31" s="322">
        <v>200</v>
      </c>
      <c r="O31" s="510">
        <v>5</v>
      </c>
      <c r="P31" s="326">
        <v>60</v>
      </c>
      <c r="Q31" s="515">
        <f t="shared" ref="Q31:Q32" si="3">N31*O31/P31</f>
        <v>16.666666666666668</v>
      </c>
    </row>
    <row r="32" spans="2:18" s="17" customFormat="1" ht="12.75">
      <c r="B32" s="238">
        <v>1</v>
      </c>
      <c r="C32" s="1031" t="s">
        <v>15</v>
      </c>
      <c r="D32" s="1031"/>
      <c r="E32" s="1031"/>
      <c r="F32" s="1031"/>
      <c r="G32" s="1031"/>
      <c r="H32" s="1031"/>
      <c r="I32" s="1031"/>
      <c r="J32" s="609" t="s">
        <v>3</v>
      </c>
      <c r="K32" s="609" t="s">
        <v>1</v>
      </c>
      <c r="M32" s="328" t="s">
        <v>355</v>
      </c>
      <c r="N32" s="322">
        <v>10</v>
      </c>
      <c r="O32" s="510">
        <v>50</v>
      </c>
      <c r="P32" s="326">
        <v>60</v>
      </c>
      <c r="Q32" s="515">
        <f t="shared" si="3"/>
        <v>8.3333333333333339</v>
      </c>
    </row>
    <row r="33" spans="2:18" s="17" customFormat="1" ht="12.75">
      <c r="B33" s="238" t="s">
        <v>7</v>
      </c>
      <c r="C33" s="1027" t="s">
        <v>24</v>
      </c>
      <c r="D33" s="1027"/>
      <c r="E33" s="1027"/>
      <c r="F33" s="1027"/>
      <c r="G33" s="1027"/>
      <c r="H33" s="1027"/>
      <c r="I33" s="1027"/>
      <c r="J33" s="275">
        <v>1</v>
      </c>
      <c r="K33" s="712">
        <f>K27</f>
        <v>1372.86</v>
      </c>
      <c r="M33" s="986" t="s">
        <v>147</v>
      </c>
      <c r="N33" s="986"/>
      <c r="O33" s="986"/>
      <c r="P33" s="986"/>
      <c r="Q33" s="668">
        <f>SUM(Q30:Q32)/22</f>
        <v>2.1969696969696972</v>
      </c>
      <c r="R33" s="684"/>
    </row>
    <row r="34" spans="2:18" s="17" customFormat="1" ht="12.75">
      <c r="B34" s="238" t="s">
        <v>8</v>
      </c>
      <c r="C34" s="1027" t="s">
        <v>40</v>
      </c>
      <c r="D34" s="1027"/>
      <c r="E34" s="1027"/>
      <c r="F34" s="1027"/>
      <c r="G34" s="1027"/>
      <c r="H34" s="1027"/>
      <c r="I34" s="1027"/>
      <c r="J34" s="617">
        <v>0.3</v>
      </c>
      <c r="K34" s="712">
        <f>K33*J34</f>
        <v>411.85799999999995</v>
      </c>
    </row>
    <row r="35" spans="2:18" s="17" customFormat="1" ht="12.75">
      <c r="B35" s="238" t="s">
        <v>9</v>
      </c>
      <c r="C35" s="1027" t="s">
        <v>376</v>
      </c>
      <c r="D35" s="1027"/>
      <c r="E35" s="1027"/>
      <c r="F35" s="1027"/>
      <c r="G35" s="1027"/>
      <c r="H35" s="1027"/>
      <c r="I35" s="1027"/>
      <c r="J35" s="636">
        <v>0.1</v>
      </c>
      <c r="K35" s="712">
        <f>K33*J35</f>
        <v>137.286</v>
      </c>
      <c r="M35" s="986" t="s">
        <v>370</v>
      </c>
      <c r="N35" s="986"/>
      <c r="O35" s="986"/>
      <c r="P35" s="986"/>
      <c r="Q35" s="986"/>
    </row>
    <row r="36" spans="2:18" s="17" customFormat="1" ht="12.75">
      <c r="B36" s="238" t="s">
        <v>10</v>
      </c>
      <c r="C36" s="1038" t="s">
        <v>109</v>
      </c>
      <c r="D36" s="1039"/>
      <c r="E36" s="1039"/>
      <c r="F36" s="1039"/>
      <c r="G36" s="1039"/>
      <c r="H36" s="1039"/>
      <c r="I36" s="1040"/>
      <c r="J36" s="277">
        <v>0</v>
      </c>
      <c r="K36" s="276">
        <f>J36*14.89</f>
        <v>0</v>
      </c>
      <c r="L36" s="21"/>
      <c r="M36" s="323" t="s">
        <v>114</v>
      </c>
      <c r="N36" s="324" t="s">
        <v>115</v>
      </c>
      <c r="O36" s="324" t="s">
        <v>116</v>
      </c>
      <c r="P36" s="324" t="s">
        <v>117</v>
      </c>
      <c r="Q36" s="324" t="s">
        <v>97</v>
      </c>
    </row>
    <row r="37" spans="2:18" s="17" customFormat="1" ht="14.25" customHeight="1">
      <c r="B37" s="275" t="s">
        <v>11</v>
      </c>
      <c r="C37" s="1032" t="s">
        <v>111</v>
      </c>
      <c r="D37" s="1033"/>
      <c r="E37" s="1033"/>
      <c r="F37" s="1033"/>
      <c r="G37" s="1033"/>
      <c r="H37" s="1033"/>
      <c r="I37" s="1037"/>
      <c r="J37" s="278">
        <v>0</v>
      </c>
      <c r="K37" s="276">
        <f>J37*15</f>
        <v>0</v>
      </c>
      <c r="L37" s="21"/>
      <c r="M37" s="635" t="s">
        <v>371</v>
      </c>
      <c r="N37" s="322">
        <v>1</v>
      </c>
      <c r="O37" s="510">
        <v>150</v>
      </c>
      <c r="P37" s="326">
        <v>60</v>
      </c>
      <c r="Q37" s="516">
        <f>(N37*O37)/P37</f>
        <v>2.5</v>
      </c>
    </row>
    <row r="38" spans="2:18" s="17" customFormat="1" ht="12.75">
      <c r="B38" s="238" t="s">
        <v>12</v>
      </c>
      <c r="C38" s="1038" t="s">
        <v>110</v>
      </c>
      <c r="D38" s="1039"/>
      <c r="E38" s="1039"/>
      <c r="F38" s="1039"/>
      <c r="G38" s="1039"/>
      <c r="H38" s="1039"/>
      <c r="I38" s="1040"/>
      <c r="J38" s="278">
        <v>0</v>
      </c>
      <c r="K38" s="276">
        <f>K37/6</f>
        <v>0</v>
      </c>
      <c r="L38" s="22"/>
      <c r="M38" s="1096" t="s">
        <v>147</v>
      </c>
      <c r="N38" s="1097"/>
      <c r="O38" s="1097"/>
      <c r="P38" s="1098"/>
      <c r="Q38" s="668">
        <f>Q37/22</f>
        <v>0.11363636363636363</v>
      </c>
      <c r="R38" s="23"/>
    </row>
    <row r="39" spans="2:18" s="17" customFormat="1">
      <c r="B39" s="238" t="s">
        <v>13</v>
      </c>
      <c r="C39" s="1038" t="s">
        <v>112</v>
      </c>
      <c r="D39" s="1039"/>
      <c r="E39" s="1039"/>
      <c r="F39" s="1039"/>
      <c r="G39" s="1039"/>
      <c r="H39" s="1039"/>
      <c r="I39" s="1040"/>
      <c r="J39" s="279">
        <v>0</v>
      </c>
      <c r="K39" s="276">
        <f>J39*J35</f>
        <v>0</v>
      </c>
      <c r="L39" s="22"/>
      <c r="M39" s="503"/>
      <c r="N39" s="618"/>
      <c r="O39" s="618"/>
      <c r="P39" s="618"/>
      <c r="Q39" s="619"/>
      <c r="R39" s="16"/>
    </row>
    <row r="40" spans="2:18" s="17" customFormat="1" ht="15" customHeight="1">
      <c r="B40" s="238" t="s">
        <v>11</v>
      </c>
      <c r="C40" s="1027" t="s">
        <v>123</v>
      </c>
      <c r="D40" s="1027"/>
      <c r="E40" s="1027"/>
      <c r="F40" s="1027"/>
      <c r="G40" s="1027"/>
      <c r="H40" s="1027"/>
      <c r="I40" s="1027"/>
      <c r="J40" s="280"/>
      <c r="K40" s="276">
        <f>(K35+K36)/6</f>
        <v>22.881</v>
      </c>
      <c r="L40" s="22"/>
      <c r="M40" s="503"/>
      <c r="N40" s="504"/>
      <c r="O40" s="504"/>
      <c r="P40" s="504"/>
      <c r="Q40" s="504"/>
    </row>
    <row r="41" spans="2:18" s="17" customFormat="1" ht="15" customHeight="1">
      <c r="B41" s="1031" t="s">
        <v>95</v>
      </c>
      <c r="C41" s="1031"/>
      <c r="D41" s="1031"/>
      <c r="E41" s="1031"/>
      <c r="F41" s="1031"/>
      <c r="G41" s="1031"/>
      <c r="H41" s="1031"/>
      <c r="I41" s="1031"/>
      <c r="J41" s="1031"/>
      <c r="K41" s="274">
        <f>SUM(K33:K40)</f>
        <v>1944.885</v>
      </c>
      <c r="L41" s="22"/>
      <c r="M41" s="503"/>
      <c r="N41" s="504"/>
      <c r="O41" s="504"/>
      <c r="P41" s="504"/>
      <c r="Q41" s="504"/>
    </row>
    <row r="42" spans="2:18" s="17" customFormat="1" ht="15" customHeight="1">
      <c r="B42" s="1030" t="s">
        <v>57</v>
      </c>
      <c r="C42" s="1030"/>
      <c r="D42" s="1030"/>
      <c r="E42" s="1030"/>
      <c r="F42" s="1030"/>
      <c r="G42" s="1030"/>
      <c r="H42" s="1030"/>
      <c r="I42" s="1030"/>
      <c r="J42" s="1030"/>
      <c r="K42" s="520">
        <f>SUM(K41)</f>
        <v>1944.885</v>
      </c>
      <c r="L42" s="22"/>
      <c r="M42" s="503"/>
      <c r="N42" s="504"/>
      <c r="O42" s="504"/>
      <c r="P42" s="504"/>
      <c r="Q42" s="504"/>
    </row>
    <row r="43" spans="2:18" s="17" customFormat="1">
      <c r="B43" s="1030" t="s">
        <v>57</v>
      </c>
      <c r="C43" s="1030"/>
      <c r="D43" s="1030"/>
      <c r="E43" s="1030"/>
      <c r="F43" s="1030"/>
      <c r="G43" s="1030"/>
      <c r="H43" s="1030"/>
      <c r="I43" s="1030"/>
      <c r="J43" s="1030"/>
      <c r="K43" s="520">
        <f>K33+K34+K35</f>
        <v>1922.0039999999999</v>
      </c>
      <c r="L43" s="22"/>
      <c r="M43" s="503"/>
      <c r="N43" s="1035"/>
      <c r="O43" s="1035"/>
      <c r="P43" s="1035"/>
      <c r="Q43" s="1035"/>
    </row>
    <row r="44" spans="2:18" s="17" customFormat="1">
      <c r="B44" s="291"/>
      <c r="C44" s="611"/>
      <c r="D44" s="611"/>
      <c r="E44" s="611"/>
      <c r="F44" s="611"/>
      <c r="G44" s="611"/>
      <c r="H44" s="611"/>
      <c r="I44" s="611"/>
      <c r="J44" s="611"/>
      <c r="K44" s="294"/>
      <c r="L44" s="22"/>
      <c r="M44" s="1036" t="s">
        <v>313</v>
      </c>
      <c r="N44" s="1036"/>
      <c r="O44" s="504"/>
      <c r="P44" s="504"/>
      <c r="Q44" s="457"/>
      <c r="R44" s="23"/>
    </row>
    <row r="45" spans="2:18" s="17" customFormat="1">
      <c r="B45" s="1030" t="s">
        <v>41</v>
      </c>
      <c r="C45" s="1030"/>
      <c r="D45" s="1030"/>
      <c r="E45" s="1030"/>
      <c r="F45" s="1030"/>
      <c r="G45" s="1030"/>
      <c r="H45" s="1030"/>
      <c r="I45" s="1030"/>
      <c r="J45" s="1030"/>
      <c r="K45" s="1030"/>
      <c r="L45" s="22"/>
      <c r="M45" s="569" t="s">
        <v>314</v>
      </c>
      <c r="N45" s="570">
        <v>25.5</v>
      </c>
      <c r="O45" s="568"/>
      <c r="P45" s="568"/>
      <c r="Q45" s="504"/>
    </row>
    <row r="46" spans="2:18" s="17" customFormat="1">
      <c r="B46" s="1034" t="s">
        <v>47</v>
      </c>
      <c r="C46" s="1034"/>
      <c r="D46" s="1034"/>
      <c r="E46" s="1034"/>
      <c r="F46" s="1034"/>
      <c r="G46" s="1034"/>
      <c r="H46" s="1034"/>
      <c r="I46" s="1034"/>
      <c r="J46" s="612" t="s">
        <v>3</v>
      </c>
      <c r="K46" s="612" t="s">
        <v>1</v>
      </c>
      <c r="L46" s="27"/>
      <c r="M46" s="569" t="s">
        <v>315</v>
      </c>
      <c r="N46" s="571">
        <v>22</v>
      </c>
      <c r="O46" s="568"/>
      <c r="P46" s="568"/>
      <c r="Q46" s="504"/>
    </row>
    <row r="47" spans="2:18" s="17" customFormat="1">
      <c r="B47" s="238" t="s">
        <v>7</v>
      </c>
      <c r="C47" s="1027" t="s">
        <v>178</v>
      </c>
      <c r="D47" s="1027"/>
      <c r="E47" s="1027"/>
      <c r="F47" s="1027"/>
      <c r="G47" s="1027"/>
      <c r="H47" s="1027"/>
      <c r="I47" s="1027"/>
      <c r="J47" s="411">
        <v>9.0899999999999995E-2</v>
      </c>
      <c r="K47" s="274">
        <f>K43*J47</f>
        <v>174.71016359999999</v>
      </c>
      <c r="L47" s="29"/>
      <c r="M47" s="569" t="s">
        <v>316</v>
      </c>
      <c r="N47" s="570">
        <f>N45*N46</f>
        <v>561</v>
      </c>
      <c r="O47" s="568"/>
      <c r="P47" s="568"/>
      <c r="Q47" s="504"/>
    </row>
    <row r="48" spans="2:18" s="17" customFormat="1">
      <c r="B48" s="238" t="s">
        <v>8</v>
      </c>
      <c r="C48" s="1027" t="s">
        <v>436</v>
      </c>
      <c r="D48" s="1027"/>
      <c r="E48" s="1027"/>
      <c r="F48" s="1027"/>
      <c r="G48" s="1027"/>
      <c r="H48" s="1027"/>
      <c r="I48" s="1027"/>
      <c r="J48" s="411">
        <v>0.1212</v>
      </c>
      <c r="K48" s="274">
        <f>K43*J48</f>
        <v>232.94688479999999</v>
      </c>
      <c r="L48" s="29"/>
      <c r="M48" s="569" t="s">
        <v>317</v>
      </c>
      <c r="N48" s="570">
        <f>N47*5%</f>
        <v>28.05</v>
      </c>
      <c r="O48" s="572" t="s">
        <v>318</v>
      </c>
      <c r="P48" s="585" t="s">
        <v>316</v>
      </c>
      <c r="Q48" s="504"/>
    </row>
    <row r="49" spans="2:17" s="17" customFormat="1">
      <c r="B49" s="1030" t="s">
        <v>43</v>
      </c>
      <c r="C49" s="1030"/>
      <c r="D49" s="1030"/>
      <c r="E49" s="1030"/>
      <c r="F49" s="1030"/>
      <c r="G49" s="1030"/>
      <c r="H49" s="1030"/>
      <c r="I49" s="1030"/>
      <c r="J49" s="259">
        <f>SUM(J47:J48)</f>
        <v>0.21210000000000001</v>
      </c>
      <c r="K49" s="521">
        <f>SUM(K47:K48)</f>
        <v>407.65704840000001</v>
      </c>
      <c r="L49" s="29"/>
      <c r="M49" s="573" t="s">
        <v>319</v>
      </c>
      <c r="N49" s="570">
        <f>N47-N48</f>
        <v>532.95000000000005</v>
      </c>
      <c r="O49" s="575">
        <v>1</v>
      </c>
      <c r="P49" s="584">
        <f>O49*N49</f>
        <v>532.95000000000005</v>
      </c>
      <c r="Q49" s="504"/>
    </row>
    <row r="50" spans="2:17" s="17" customFormat="1">
      <c r="B50" s="1058"/>
      <c r="C50" s="1028"/>
      <c r="D50" s="1028"/>
      <c r="E50" s="1028"/>
      <c r="F50" s="1028"/>
      <c r="G50" s="1028"/>
      <c r="H50" s="1028"/>
      <c r="I50" s="1028"/>
      <c r="J50" s="1028"/>
      <c r="K50" s="1029"/>
      <c r="L50" s="27"/>
      <c r="M50" s="1066" t="s">
        <v>320</v>
      </c>
      <c r="N50" s="1066"/>
      <c r="O50" s="622"/>
      <c r="P50" s="621"/>
      <c r="Q50" s="504"/>
    </row>
    <row r="51" spans="2:17" s="17" customFormat="1">
      <c r="B51" s="1030" t="s">
        <v>420</v>
      </c>
      <c r="C51" s="1030"/>
      <c r="D51" s="1030"/>
      <c r="E51" s="1030"/>
      <c r="F51" s="1030"/>
      <c r="G51" s="1030"/>
      <c r="H51" s="1030"/>
      <c r="I51" s="1030"/>
      <c r="J51" s="608" t="s">
        <v>3</v>
      </c>
      <c r="K51" s="608" t="s">
        <v>1</v>
      </c>
      <c r="L51" s="27"/>
      <c r="M51" s="620"/>
      <c r="N51" s="621"/>
      <c r="O51" s="622"/>
      <c r="P51" s="621"/>
      <c r="Q51" s="504"/>
    </row>
    <row r="52" spans="2:17" s="17" customFormat="1">
      <c r="B52" s="238" t="s">
        <v>7</v>
      </c>
      <c r="C52" s="1068" t="s">
        <v>84</v>
      </c>
      <c r="D52" s="1068"/>
      <c r="E52" s="1068"/>
      <c r="F52" s="1068"/>
      <c r="G52" s="1068"/>
      <c r="H52" s="1068"/>
      <c r="I52" s="1068"/>
      <c r="J52" s="272">
        <v>0.2</v>
      </c>
      <c r="K52" s="273">
        <f>($K$43+$K$49)*J52</f>
        <v>465.93220967999997</v>
      </c>
      <c r="L52" s="27"/>
      <c r="M52" s="1036" t="s">
        <v>321</v>
      </c>
      <c r="N52" s="1036"/>
      <c r="O52" s="568"/>
      <c r="P52" s="568"/>
      <c r="Q52" s="504"/>
    </row>
    <row r="53" spans="2:17" s="17" customFormat="1">
      <c r="B53" s="238" t="s">
        <v>8</v>
      </c>
      <c r="C53" s="1068" t="s">
        <v>85</v>
      </c>
      <c r="D53" s="1068"/>
      <c r="E53" s="1068"/>
      <c r="F53" s="1068"/>
      <c r="G53" s="1068"/>
      <c r="H53" s="1068"/>
      <c r="I53" s="1068"/>
      <c r="J53" s="272">
        <v>2.5000000000000001E-2</v>
      </c>
      <c r="K53" s="273">
        <f t="shared" ref="K53:K59" si="4">($K$43+$K$49)*J53</f>
        <v>58.241526209999996</v>
      </c>
      <c r="L53" s="29"/>
      <c r="M53" s="569" t="s">
        <v>322</v>
      </c>
      <c r="N53" s="577">
        <v>3.8</v>
      </c>
      <c r="O53" s="568"/>
      <c r="P53" s="568"/>
      <c r="Q53" s="504"/>
    </row>
    <row r="54" spans="2:17" s="17" customFormat="1">
      <c r="B54" s="238" t="s">
        <v>9</v>
      </c>
      <c r="C54" s="1069" t="s">
        <v>285</v>
      </c>
      <c r="D54" s="1069"/>
      <c r="E54" s="1069"/>
      <c r="F54" s="1069"/>
      <c r="G54" s="1069"/>
      <c r="H54" s="1069"/>
      <c r="I54" s="1069"/>
      <c r="J54" s="272">
        <v>0.03</v>
      </c>
      <c r="K54" s="273">
        <f t="shared" si="4"/>
        <v>69.889831451999996</v>
      </c>
      <c r="L54" s="29"/>
      <c r="M54" s="569" t="s">
        <v>323</v>
      </c>
      <c r="N54" s="577">
        <v>2</v>
      </c>
      <c r="O54" s="568"/>
      <c r="P54" s="568"/>
      <c r="Q54" s="504"/>
    </row>
    <row r="55" spans="2:17" s="17" customFormat="1">
      <c r="B55" s="238" t="s">
        <v>10</v>
      </c>
      <c r="C55" s="1068" t="s">
        <v>45</v>
      </c>
      <c r="D55" s="1068"/>
      <c r="E55" s="1068"/>
      <c r="F55" s="1068"/>
      <c r="G55" s="1068"/>
      <c r="H55" s="1068"/>
      <c r="I55" s="1068"/>
      <c r="J55" s="272">
        <v>1.4999999999999999E-2</v>
      </c>
      <c r="K55" s="273">
        <f t="shared" si="4"/>
        <v>34.944915725999998</v>
      </c>
      <c r="L55" s="29"/>
      <c r="M55" s="569" t="s">
        <v>324</v>
      </c>
      <c r="N55" s="571">
        <v>22</v>
      </c>
      <c r="O55" s="568"/>
      <c r="P55" s="568"/>
      <c r="Q55" s="504"/>
    </row>
    <row r="56" spans="2:17" s="17" customFormat="1" ht="14.25" customHeight="1">
      <c r="B56" s="238" t="s">
        <v>11</v>
      </c>
      <c r="C56" s="1068" t="s">
        <v>86</v>
      </c>
      <c r="D56" s="1068"/>
      <c r="E56" s="1068"/>
      <c r="F56" s="1068"/>
      <c r="G56" s="1068"/>
      <c r="H56" s="1068"/>
      <c r="I56" s="1068"/>
      <c r="J56" s="272">
        <v>0.01</v>
      </c>
      <c r="K56" s="273">
        <f t="shared" si="4"/>
        <v>23.296610483999999</v>
      </c>
      <c r="L56" s="29"/>
      <c r="M56" s="569" t="s">
        <v>325</v>
      </c>
      <c r="N56" s="577">
        <f>(N53*N54)*N55</f>
        <v>167.2</v>
      </c>
      <c r="O56" s="568"/>
      <c r="P56" s="568"/>
      <c r="Q56" s="504"/>
    </row>
    <row r="57" spans="2:17" s="17" customFormat="1">
      <c r="B57" s="238" t="s">
        <v>12</v>
      </c>
      <c r="C57" s="1069" t="s">
        <v>87</v>
      </c>
      <c r="D57" s="1069"/>
      <c r="E57" s="1069"/>
      <c r="F57" s="1069"/>
      <c r="G57" s="1069"/>
      <c r="H57" s="1069"/>
      <c r="I57" s="1069"/>
      <c r="J57" s="272">
        <v>6.0000000000000001E-3</v>
      </c>
      <c r="K57" s="273">
        <f t="shared" si="4"/>
        <v>13.977966290399999</v>
      </c>
      <c r="L57" s="29"/>
      <c r="M57" s="569" t="s">
        <v>326</v>
      </c>
      <c r="N57" s="577">
        <f>K33*6%</f>
        <v>82.371599999999987</v>
      </c>
      <c r="O57" s="572" t="s">
        <v>318</v>
      </c>
      <c r="P57" s="585" t="s">
        <v>316</v>
      </c>
      <c r="Q57" s="504"/>
    </row>
    <row r="58" spans="2:17" s="17" customFormat="1" ht="14.25" customHeight="1">
      <c r="B58" s="238" t="s">
        <v>13</v>
      </c>
      <c r="C58" s="1069" t="s">
        <v>88</v>
      </c>
      <c r="D58" s="1069"/>
      <c r="E58" s="1069"/>
      <c r="F58" s="1069"/>
      <c r="G58" s="1069"/>
      <c r="H58" s="1069"/>
      <c r="I58" s="1069"/>
      <c r="J58" s="272">
        <v>2E-3</v>
      </c>
      <c r="K58" s="273">
        <f t="shared" si="4"/>
        <v>4.6593220967999995</v>
      </c>
      <c r="L58" s="29"/>
      <c r="M58" s="573" t="s">
        <v>319</v>
      </c>
      <c r="N58" s="578">
        <f>N56-N57</f>
        <v>84.828400000000002</v>
      </c>
      <c r="O58" s="575">
        <v>1</v>
      </c>
      <c r="P58" s="584">
        <f>O58*N58</f>
        <v>84.828400000000002</v>
      </c>
      <c r="Q58" s="504"/>
    </row>
    <row r="59" spans="2:17" s="17" customFormat="1" ht="14.25" customHeight="1">
      <c r="B59" s="238" t="s">
        <v>14</v>
      </c>
      <c r="C59" s="1069" t="s">
        <v>89</v>
      </c>
      <c r="D59" s="1069"/>
      <c r="E59" s="1069"/>
      <c r="F59" s="1069"/>
      <c r="G59" s="1069"/>
      <c r="H59" s="1069"/>
      <c r="I59" s="1069"/>
      <c r="J59" s="272">
        <v>0.08</v>
      </c>
      <c r="K59" s="273">
        <f t="shared" si="4"/>
        <v>186.37288387199999</v>
      </c>
      <c r="L59" s="29"/>
      <c r="M59" s="1066" t="s">
        <v>327</v>
      </c>
      <c r="N59" s="1066"/>
      <c r="O59" s="568"/>
      <c r="P59" s="568"/>
      <c r="Q59" s="504"/>
    </row>
    <row r="60" spans="2:17" s="17" customFormat="1">
      <c r="B60" s="1030" t="s">
        <v>46</v>
      </c>
      <c r="C60" s="1030"/>
      <c r="D60" s="1030"/>
      <c r="E60" s="1030"/>
      <c r="F60" s="1030"/>
      <c r="G60" s="1030"/>
      <c r="H60" s="1030"/>
      <c r="I60" s="1030"/>
      <c r="J60" s="259">
        <f>SUM(J52:J59)</f>
        <v>0.36800000000000005</v>
      </c>
      <c r="K60" s="521">
        <f>TRUNC(SUM(K52:K59),2)</f>
        <v>857.31</v>
      </c>
      <c r="L60" s="27"/>
      <c r="M60" s="625"/>
      <c r="N60" s="620"/>
      <c r="O60" s="568"/>
      <c r="P60" s="568"/>
      <c r="Q60" s="504"/>
    </row>
    <row r="61" spans="2:17" s="17" customFormat="1">
      <c r="B61" s="291"/>
      <c r="C61" s="1070"/>
      <c r="D61" s="1070"/>
      <c r="E61" s="1070"/>
      <c r="F61" s="1070"/>
      <c r="G61" s="1070"/>
      <c r="H61" s="1070"/>
      <c r="I61" s="1070"/>
      <c r="J61" s="1070"/>
      <c r="K61" s="1070"/>
      <c r="L61" s="29"/>
      <c r="M61" s="1067" t="s">
        <v>328</v>
      </c>
      <c r="N61" s="1067"/>
      <c r="O61" s="568"/>
      <c r="P61" s="568"/>
      <c r="Q61" s="504"/>
    </row>
    <row r="62" spans="2:17" s="17" customFormat="1">
      <c r="B62" s="1055" t="s">
        <v>49</v>
      </c>
      <c r="C62" s="1056"/>
      <c r="D62" s="1056"/>
      <c r="E62" s="1056"/>
      <c r="F62" s="1056"/>
      <c r="G62" s="1056"/>
      <c r="H62" s="1056"/>
      <c r="I62" s="1056"/>
      <c r="J62" s="1057"/>
      <c r="K62" s="701" t="s">
        <v>1</v>
      </c>
      <c r="L62" s="29"/>
      <c r="M62" s="569" t="s">
        <v>329</v>
      </c>
      <c r="N62" s="579">
        <v>109.23</v>
      </c>
      <c r="O62" s="568"/>
      <c r="P62" s="568"/>
      <c r="Q62" s="504"/>
    </row>
    <row r="63" spans="2:17" s="17" customFormat="1">
      <c r="B63" s="702" t="s">
        <v>7</v>
      </c>
      <c r="C63" s="1045" t="s">
        <v>113</v>
      </c>
      <c r="D63" s="1046"/>
      <c r="E63" s="1046"/>
      <c r="F63" s="1046"/>
      <c r="G63" s="1046"/>
      <c r="H63" s="1046"/>
      <c r="I63" s="1046"/>
      <c r="J63" s="1047"/>
      <c r="K63" s="703">
        <f>P58</f>
        <v>84.828400000000002</v>
      </c>
      <c r="L63" s="27"/>
      <c r="M63" s="569" t="s">
        <v>330</v>
      </c>
      <c r="N63" s="579">
        <v>1</v>
      </c>
      <c r="O63" s="568"/>
      <c r="P63" s="568"/>
      <c r="Q63" s="504"/>
    </row>
    <row r="64" spans="2:17" s="17" customFormat="1">
      <c r="B64" s="702" t="s">
        <v>8</v>
      </c>
      <c r="C64" s="1045" t="s">
        <v>173</v>
      </c>
      <c r="D64" s="1046"/>
      <c r="E64" s="1046"/>
      <c r="F64" s="1046"/>
      <c r="G64" s="1046"/>
      <c r="H64" s="1046"/>
      <c r="I64" s="1046"/>
      <c r="J64" s="1047"/>
      <c r="K64" s="271">
        <f>P49</f>
        <v>532.95000000000005</v>
      </c>
      <c r="L64" s="29"/>
      <c r="M64" s="569" t="s">
        <v>331</v>
      </c>
      <c r="N64" s="580">
        <v>1</v>
      </c>
      <c r="O64" s="568"/>
      <c r="P64" s="568"/>
      <c r="Q64" s="504"/>
    </row>
    <row r="65" spans="2:19" s="17" customFormat="1" ht="15.75">
      <c r="B65" s="702" t="s">
        <v>9</v>
      </c>
      <c r="C65" s="1048" t="s">
        <v>290</v>
      </c>
      <c r="D65" s="1049"/>
      <c r="E65" s="1049"/>
      <c r="F65" s="1049"/>
      <c r="G65" s="1049"/>
      <c r="H65" s="1049"/>
      <c r="I65" s="1049"/>
      <c r="J65" s="1050"/>
      <c r="K65" s="271">
        <f>N65</f>
        <v>108.23</v>
      </c>
      <c r="L65" s="29"/>
      <c r="M65" s="581" t="s">
        <v>332</v>
      </c>
      <c r="N65" s="583">
        <f>(N62-N63)*N64</f>
        <v>108.23</v>
      </c>
      <c r="O65" s="568"/>
      <c r="P65" s="568"/>
      <c r="Q65" s="504"/>
    </row>
    <row r="66" spans="2:19" s="17" customFormat="1" ht="13.5" customHeight="1">
      <c r="B66" s="615" t="s">
        <v>10</v>
      </c>
      <c r="C66" s="563" t="s">
        <v>438</v>
      </c>
      <c r="D66" s="564"/>
      <c r="E66" s="565"/>
      <c r="F66" s="565"/>
      <c r="G66" s="672"/>
      <c r="H66" s="672"/>
      <c r="I66" s="672"/>
      <c r="J66" s="674"/>
      <c r="K66" s="713">
        <v>10</v>
      </c>
      <c r="L66" s="29"/>
      <c r="M66" s="1066" t="s">
        <v>333</v>
      </c>
      <c r="N66" s="1066"/>
      <c r="O66" s="568"/>
      <c r="P66" s="568"/>
      <c r="Q66" s="504"/>
    </row>
    <row r="67" spans="2:19" s="17" customFormat="1" ht="13.5" customHeight="1">
      <c r="B67" s="1030" t="s">
        <v>50</v>
      </c>
      <c r="C67" s="1030"/>
      <c r="D67" s="1030"/>
      <c r="E67" s="1030"/>
      <c r="F67" s="1030"/>
      <c r="G67" s="1030"/>
      <c r="H67" s="1030"/>
      <c r="I67" s="1030"/>
      <c r="J67" s="1030"/>
      <c r="K67" s="520">
        <f>SUM(K63:K66)</f>
        <v>736.00840000000005</v>
      </c>
      <c r="L67" s="27"/>
      <c r="M67" s="623"/>
      <c r="N67" s="626"/>
      <c r="O67" s="624"/>
      <c r="P67" s="624"/>
      <c r="Q67" s="504"/>
    </row>
    <row r="68" spans="2:19" s="17" customFormat="1" ht="13.5" customHeight="1">
      <c r="B68" s="291"/>
      <c r="C68" s="1041"/>
      <c r="D68" s="1041"/>
      <c r="E68" s="1041"/>
      <c r="F68" s="1041"/>
      <c r="G68" s="1041"/>
      <c r="H68" s="1041"/>
      <c r="I68" s="1041"/>
      <c r="J68" s="1041"/>
      <c r="K68" s="1042"/>
      <c r="L68" s="27"/>
      <c r="M68" s="620"/>
      <c r="N68" s="627"/>
      <c r="O68" s="622"/>
      <c r="P68" s="621"/>
      <c r="Q68" s="504"/>
    </row>
    <row r="69" spans="2:19" s="17" customFormat="1" ht="14.25" customHeight="1">
      <c r="B69" s="1030" t="s">
        <v>51</v>
      </c>
      <c r="C69" s="1030"/>
      <c r="D69" s="1030"/>
      <c r="E69" s="1030"/>
      <c r="F69" s="1030"/>
      <c r="G69" s="1030"/>
      <c r="H69" s="1030"/>
      <c r="I69" s="1030"/>
      <c r="J69" s="1030"/>
      <c r="K69" s="1030"/>
      <c r="L69" s="27"/>
      <c r="M69" s="568"/>
      <c r="N69" s="620"/>
      <c r="O69" s="568"/>
      <c r="P69" s="568"/>
      <c r="Q69" s="504"/>
    </row>
    <row r="70" spans="2:19" s="17" customFormat="1" ht="36">
      <c r="B70" s="1030" t="s">
        <v>55</v>
      </c>
      <c r="C70" s="1030"/>
      <c r="D70" s="1030"/>
      <c r="E70" s="1030"/>
      <c r="F70" s="1030"/>
      <c r="G70" s="1030"/>
      <c r="H70" s="1030"/>
      <c r="I70" s="1030"/>
      <c r="J70" s="1030"/>
      <c r="K70" s="608" t="s">
        <v>1</v>
      </c>
      <c r="L70" s="29"/>
      <c r="M70" s="655" t="s">
        <v>421</v>
      </c>
      <c r="N70" s="654" t="s">
        <v>422</v>
      </c>
      <c r="O70" s="320" t="s">
        <v>117</v>
      </c>
      <c r="P70" s="653" t="s">
        <v>423</v>
      </c>
      <c r="Q70" s="590" t="s">
        <v>97</v>
      </c>
    </row>
    <row r="71" spans="2:19" s="17" customFormat="1" ht="12.75">
      <c r="B71" s="603" t="s">
        <v>52</v>
      </c>
      <c r="C71" s="1044" t="s">
        <v>42</v>
      </c>
      <c r="D71" s="1044"/>
      <c r="E71" s="1044"/>
      <c r="F71" s="1044"/>
      <c r="G71" s="1044"/>
      <c r="H71" s="1044"/>
      <c r="I71" s="1044"/>
      <c r="J71" s="1044"/>
      <c r="K71" s="242">
        <f>K49</f>
        <v>407.65704840000001</v>
      </c>
      <c r="L71" s="29"/>
      <c r="M71" s="656" t="s">
        <v>424</v>
      </c>
      <c r="N71" s="575">
        <v>6</v>
      </c>
      <c r="O71" s="322">
        <v>0</v>
      </c>
      <c r="P71" s="657">
        <v>0.65</v>
      </c>
      <c r="Q71" s="592">
        <f>N71*P71</f>
        <v>3.9000000000000004</v>
      </c>
      <c r="S71" s="131"/>
    </row>
    <row r="72" spans="2:19" s="17" customFormat="1" ht="12.75">
      <c r="B72" s="264" t="s">
        <v>53</v>
      </c>
      <c r="C72" s="1044" t="s">
        <v>44</v>
      </c>
      <c r="D72" s="1044"/>
      <c r="E72" s="1044"/>
      <c r="F72" s="1044"/>
      <c r="G72" s="1044"/>
      <c r="H72" s="1044"/>
      <c r="I72" s="1044"/>
      <c r="J72" s="1044"/>
      <c r="K72" s="246">
        <f>K60</f>
        <v>857.31</v>
      </c>
      <c r="L72" s="29"/>
      <c r="M72" s="573" t="s">
        <v>425</v>
      </c>
      <c r="N72" s="572">
        <v>2</v>
      </c>
      <c r="O72" s="322">
        <v>0</v>
      </c>
      <c r="P72" s="657">
        <v>5</v>
      </c>
      <c r="Q72" s="592">
        <f>N72*P72</f>
        <v>10</v>
      </c>
      <c r="S72" s="132"/>
    </row>
    <row r="73" spans="2:19" s="17" customFormat="1" ht="12.75">
      <c r="B73" s="264" t="s">
        <v>54</v>
      </c>
      <c r="C73" s="1044" t="s">
        <v>56</v>
      </c>
      <c r="D73" s="1044"/>
      <c r="E73" s="1044"/>
      <c r="F73" s="1044"/>
      <c r="G73" s="1044"/>
      <c r="H73" s="1044"/>
      <c r="I73" s="1044"/>
      <c r="J73" s="1044"/>
      <c r="K73" s="246">
        <f>K67</f>
        <v>736.00840000000005</v>
      </c>
      <c r="L73" s="29"/>
      <c r="M73" s="986">
        <v>4.8</v>
      </c>
      <c r="N73" s="986"/>
      <c r="O73" s="986"/>
      <c r="P73" s="986"/>
      <c r="Q73" s="668">
        <f>SUM(Q71:Q72)/22</f>
        <v>0.63181818181818183</v>
      </c>
      <c r="S73" s="131"/>
    </row>
    <row r="74" spans="2:19" s="17" customFormat="1" ht="15.75">
      <c r="B74" s="291"/>
      <c r="C74" s="1031" t="s">
        <v>58</v>
      </c>
      <c r="D74" s="1031"/>
      <c r="E74" s="1031"/>
      <c r="F74" s="1031"/>
      <c r="G74" s="1031"/>
      <c r="H74" s="1031"/>
      <c r="I74" s="1031"/>
      <c r="J74" s="1031"/>
      <c r="K74" s="265">
        <f>TRUNC(SUM(K71:K73),2)</f>
        <v>2000.97</v>
      </c>
      <c r="L74" s="29"/>
      <c r="M74" s="632"/>
      <c r="N74" s="630"/>
      <c r="O74" s="568"/>
      <c r="P74" s="568"/>
      <c r="Q74" s="504"/>
    </row>
    <row r="75" spans="2:19" s="17" customFormat="1">
      <c r="B75" s="1030" t="s">
        <v>59</v>
      </c>
      <c r="C75" s="1030"/>
      <c r="D75" s="1030"/>
      <c r="E75" s="1030"/>
      <c r="F75" s="1030"/>
      <c r="G75" s="1030"/>
      <c r="H75" s="1030"/>
      <c r="I75" s="1030"/>
      <c r="J75" s="1030"/>
      <c r="K75" s="1030"/>
      <c r="L75" s="29"/>
      <c r="M75" s="620"/>
      <c r="N75" s="633"/>
      <c r="O75" s="582"/>
      <c r="P75" s="568"/>
      <c r="Q75" s="504"/>
    </row>
    <row r="76" spans="2:19" s="17" customFormat="1">
      <c r="B76" s="609">
        <v>3</v>
      </c>
      <c r="C76" s="1031" t="s">
        <v>60</v>
      </c>
      <c r="D76" s="1031"/>
      <c r="E76" s="1031"/>
      <c r="F76" s="1031"/>
      <c r="G76" s="1031"/>
      <c r="H76" s="1031"/>
      <c r="I76" s="1031"/>
      <c r="J76" s="609" t="s">
        <v>3</v>
      </c>
      <c r="K76" s="609" t="s">
        <v>1</v>
      </c>
      <c r="L76" s="29"/>
      <c r="M76" s="634"/>
      <c r="N76" s="620"/>
      <c r="O76" s="582"/>
      <c r="P76" s="568"/>
      <c r="Q76" s="504"/>
    </row>
    <row r="77" spans="2:19" s="17" customFormat="1">
      <c r="B77" s="609" t="s">
        <v>7</v>
      </c>
      <c r="C77" s="1051" t="s">
        <v>101</v>
      </c>
      <c r="D77" s="1051"/>
      <c r="E77" s="1051"/>
      <c r="F77" s="1051"/>
      <c r="G77" s="1051"/>
      <c r="H77" s="1051"/>
      <c r="I77" s="1051"/>
      <c r="J77" s="709">
        <v>4.1999999999999997E-3</v>
      </c>
      <c r="K77" s="246">
        <f>K43*J77</f>
        <v>8.0724167999999992</v>
      </c>
      <c r="L77" s="29"/>
      <c r="M77" s="503"/>
      <c r="N77" s="504"/>
      <c r="O77" s="504"/>
      <c r="P77" s="504"/>
      <c r="Q77" s="504"/>
    </row>
    <row r="78" spans="2:19" s="17" customFormat="1">
      <c r="B78" s="609" t="s">
        <v>8</v>
      </c>
      <c r="C78" s="1044" t="s">
        <v>102</v>
      </c>
      <c r="D78" s="1044"/>
      <c r="E78" s="1044"/>
      <c r="F78" s="1044"/>
      <c r="G78" s="1044"/>
      <c r="H78" s="1044"/>
      <c r="I78" s="1044"/>
      <c r="J78" s="417">
        <f>J59*J77</f>
        <v>3.3599999999999998E-4</v>
      </c>
      <c r="K78" s="677">
        <f>K77*J78</f>
        <v>2.7123320447999997E-3</v>
      </c>
      <c r="L78" s="29"/>
      <c r="M78" s="503"/>
      <c r="N78" s="504"/>
      <c r="O78" s="504"/>
      <c r="P78" s="671"/>
      <c r="Q78" s="504"/>
    </row>
    <row r="79" spans="2:19" s="17" customFormat="1">
      <c r="B79" s="609" t="s">
        <v>9</v>
      </c>
      <c r="C79" s="1051" t="s">
        <v>103</v>
      </c>
      <c r="D79" s="1051"/>
      <c r="E79" s="1051"/>
      <c r="F79" s="1051"/>
      <c r="G79" s="1051"/>
      <c r="H79" s="1051"/>
      <c r="I79" s="1051"/>
      <c r="J79" s="416">
        <v>2.18E-2</v>
      </c>
      <c r="K79" s="242">
        <f>K43*J79</f>
        <v>41.899687199999995</v>
      </c>
      <c r="L79" s="29"/>
      <c r="M79" s="503"/>
      <c r="N79" s="504"/>
      <c r="O79" s="504"/>
      <c r="P79" s="504"/>
      <c r="Q79" s="504"/>
    </row>
    <row r="80" spans="2:19" s="17" customFormat="1">
      <c r="B80" s="609" t="s">
        <v>10</v>
      </c>
      <c r="C80" s="1044" t="s">
        <v>104</v>
      </c>
      <c r="D80" s="1044"/>
      <c r="E80" s="1044"/>
      <c r="F80" s="1044"/>
      <c r="G80" s="1044"/>
      <c r="H80" s="1044"/>
      <c r="I80" s="1044"/>
      <c r="J80" s="261">
        <f>(7/30)/12</f>
        <v>1.9444444444444445E-2</v>
      </c>
      <c r="K80" s="242">
        <f>K79*J80</f>
        <v>0.81471613999999992</v>
      </c>
      <c r="L80" s="29"/>
      <c r="M80" s="503"/>
      <c r="N80" s="504"/>
      <c r="O80" s="504"/>
      <c r="P80" s="671"/>
      <c r="Q80" s="504"/>
    </row>
    <row r="81" spans="2:17" s="17" customFormat="1">
      <c r="B81" s="609" t="s">
        <v>11</v>
      </c>
      <c r="C81" s="1044" t="s">
        <v>105</v>
      </c>
      <c r="D81" s="1044"/>
      <c r="E81" s="1044"/>
      <c r="F81" s="1044"/>
      <c r="G81" s="1044"/>
      <c r="H81" s="1044"/>
      <c r="I81" s="1044"/>
      <c r="J81" s="417">
        <f>J60*J80</f>
        <v>7.1555555555555565E-3</v>
      </c>
      <c r="K81" s="242">
        <f>K80*J81</f>
        <v>5.829746601777778E-3</v>
      </c>
      <c r="L81" s="29"/>
      <c r="M81" s="503"/>
      <c r="N81" s="504"/>
      <c r="O81" s="504"/>
      <c r="P81" s="504"/>
      <c r="Q81" s="504"/>
    </row>
    <row r="82" spans="2:17" s="17" customFormat="1">
      <c r="B82" s="609" t="s">
        <v>12</v>
      </c>
      <c r="C82" s="1051" t="s">
        <v>106</v>
      </c>
      <c r="D82" s="1051"/>
      <c r="E82" s="1051"/>
      <c r="F82" s="1051"/>
      <c r="G82" s="1051"/>
      <c r="H82" s="1051"/>
      <c r="I82" s="1051"/>
      <c r="J82" s="416">
        <v>2.18E-2</v>
      </c>
      <c r="K82" s="242">
        <f>K43*J82</f>
        <v>41.899687199999995</v>
      </c>
      <c r="L82" s="29"/>
      <c r="M82" s="503"/>
      <c r="N82" s="504"/>
      <c r="O82" s="504"/>
      <c r="P82" s="504"/>
      <c r="Q82" s="504"/>
    </row>
    <row r="83" spans="2:17" s="17" customFormat="1">
      <c r="B83" s="1030" t="s">
        <v>61</v>
      </c>
      <c r="C83" s="1030"/>
      <c r="D83" s="1030"/>
      <c r="E83" s="1030"/>
      <c r="F83" s="1030"/>
      <c r="G83" s="1030"/>
      <c r="H83" s="1030"/>
      <c r="I83" s="1030"/>
      <c r="J83" s="522">
        <f>SUM(J77:J82)</f>
        <v>7.4735999999999997E-2</v>
      </c>
      <c r="K83" s="260">
        <f>SUM(K77:K82)</f>
        <v>92.695049418646562</v>
      </c>
      <c r="L83" s="29"/>
      <c r="M83" s="503"/>
      <c r="N83" s="504"/>
      <c r="O83" s="504"/>
      <c r="P83" s="504"/>
      <c r="Q83" s="504"/>
    </row>
    <row r="84" spans="2:17" s="17" customFormat="1">
      <c r="B84" s="291"/>
      <c r="C84" s="1052"/>
      <c r="D84" s="1053"/>
      <c r="E84" s="1053"/>
      <c r="F84" s="1053"/>
      <c r="G84" s="1053"/>
      <c r="H84" s="1053"/>
      <c r="I84" s="1053"/>
      <c r="J84" s="1053"/>
      <c r="K84" s="1054"/>
      <c r="L84" s="29"/>
      <c r="M84" s="503"/>
      <c r="N84" s="504"/>
      <c r="O84" s="504"/>
      <c r="P84" s="504"/>
      <c r="Q84" s="504"/>
    </row>
    <row r="85" spans="2:17" s="17" customFormat="1">
      <c r="B85" s="1030" t="s">
        <v>62</v>
      </c>
      <c r="C85" s="1030"/>
      <c r="D85" s="1030"/>
      <c r="E85" s="1030"/>
      <c r="F85" s="1030"/>
      <c r="G85" s="1030"/>
      <c r="H85" s="1030"/>
      <c r="I85" s="1030"/>
      <c r="J85" s="1030"/>
      <c r="K85" s="1030"/>
      <c r="L85" s="29"/>
      <c r="M85" s="503"/>
      <c r="N85" s="504"/>
      <c r="O85" s="504"/>
      <c r="P85" s="504"/>
      <c r="Q85" s="504"/>
    </row>
    <row r="86" spans="2:17" s="17" customFormat="1">
      <c r="B86" s="1031" t="s">
        <v>63</v>
      </c>
      <c r="C86" s="1031"/>
      <c r="D86" s="1031"/>
      <c r="E86" s="1031"/>
      <c r="F86" s="1031"/>
      <c r="G86" s="1031"/>
      <c r="H86" s="1031"/>
      <c r="I86" s="1031"/>
      <c r="J86" s="609" t="s">
        <v>3</v>
      </c>
      <c r="K86" s="609" t="s">
        <v>1</v>
      </c>
      <c r="L86" s="29"/>
      <c r="M86" s="503"/>
      <c r="N86" s="504"/>
      <c r="O86" s="504"/>
      <c r="P86" s="504"/>
      <c r="Q86" s="504"/>
    </row>
    <row r="87" spans="2:17" s="17" customFormat="1">
      <c r="B87" s="609" t="s">
        <v>7</v>
      </c>
      <c r="C87" s="1044" t="s">
        <v>255</v>
      </c>
      <c r="D87" s="1044"/>
      <c r="E87" s="1044"/>
      <c r="F87" s="1044"/>
      <c r="G87" s="1044"/>
      <c r="H87" s="1044"/>
      <c r="I87" s="1044"/>
      <c r="J87" s="418">
        <v>9.0899999999999995E-2</v>
      </c>
      <c r="K87" s="242">
        <f>$K$43*J87</f>
        <v>174.71016359999999</v>
      </c>
      <c r="L87" s="29"/>
      <c r="M87" s="503"/>
      <c r="N87" s="504"/>
      <c r="O87" s="504"/>
      <c r="P87" s="504"/>
      <c r="Q87" s="504"/>
    </row>
    <row r="88" spans="2:17" s="17" customFormat="1">
      <c r="B88" s="243" t="s">
        <v>8</v>
      </c>
      <c r="C88" s="1044" t="s">
        <v>256</v>
      </c>
      <c r="D88" s="1044"/>
      <c r="E88" s="1044"/>
      <c r="F88" s="1044"/>
      <c r="G88" s="1044"/>
      <c r="H88" s="1044"/>
      <c r="I88" s="1044"/>
      <c r="J88" s="418">
        <v>4.4999999999999997E-3</v>
      </c>
      <c r="K88" s="242">
        <f t="shared" ref="K88:K92" si="5">$K$43*J88</f>
        <v>8.6490179999999981</v>
      </c>
      <c r="L88" s="29"/>
      <c r="M88" s="503"/>
      <c r="N88" s="504"/>
      <c r="O88" s="504"/>
      <c r="P88" s="504"/>
      <c r="Q88" s="504"/>
    </row>
    <row r="89" spans="2:17" s="17" customFormat="1">
      <c r="B89" s="243" t="s">
        <v>9</v>
      </c>
      <c r="C89" s="1044" t="s">
        <v>182</v>
      </c>
      <c r="D89" s="1044"/>
      <c r="E89" s="1044"/>
      <c r="F89" s="1044"/>
      <c r="G89" s="1044"/>
      <c r="H89" s="1044"/>
      <c r="I89" s="1044"/>
      <c r="J89" s="418">
        <v>4.0000000000000002E-4</v>
      </c>
      <c r="K89" s="242">
        <f t="shared" si="5"/>
        <v>0.76880159999999997</v>
      </c>
      <c r="L89" s="29"/>
      <c r="M89" s="503"/>
      <c r="N89" s="504"/>
      <c r="O89" s="504"/>
      <c r="P89" s="504"/>
      <c r="Q89" s="504"/>
    </row>
    <row r="90" spans="2:17" s="17" customFormat="1">
      <c r="B90" s="243" t="s">
        <v>10</v>
      </c>
      <c r="C90" s="1044" t="s">
        <v>183</v>
      </c>
      <c r="D90" s="1044"/>
      <c r="E90" s="1044"/>
      <c r="F90" s="1044"/>
      <c r="G90" s="1044"/>
      <c r="H90" s="1044"/>
      <c r="I90" s="1044"/>
      <c r="J90" s="418">
        <v>2.7000000000000001E-3</v>
      </c>
      <c r="K90" s="242">
        <f t="shared" si="5"/>
        <v>5.1894108000000001</v>
      </c>
      <c r="L90" s="29"/>
      <c r="M90" s="503"/>
      <c r="N90" s="504"/>
      <c r="O90" s="504"/>
      <c r="P90" s="504"/>
      <c r="Q90" s="504"/>
    </row>
    <row r="91" spans="2:17" s="17" customFormat="1">
      <c r="B91" s="243" t="s">
        <v>11</v>
      </c>
      <c r="C91" s="1044" t="s">
        <v>184</v>
      </c>
      <c r="D91" s="1044"/>
      <c r="E91" s="1044"/>
      <c r="F91" s="1044"/>
      <c r="G91" s="1044"/>
      <c r="H91" s="1044"/>
      <c r="I91" s="1044"/>
      <c r="J91" s="418">
        <v>2.9999999999999997E-4</v>
      </c>
      <c r="K91" s="242">
        <f t="shared" si="5"/>
        <v>0.57660119999999992</v>
      </c>
      <c r="L91" s="29"/>
      <c r="M91" s="503"/>
      <c r="N91" s="504"/>
      <c r="O91" s="504"/>
      <c r="P91" s="504"/>
      <c r="Q91" s="504"/>
    </row>
    <row r="92" spans="2:17" s="17" customFormat="1">
      <c r="B92" s="243" t="s">
        <v>12</v>
      </c>
      <c r="C92" s="1044" t="s">
        <v>286</v>
      </c>
      <c r="D92" s="1044"/>
      <c r="E92" s="1044"/>
      <c r="F92" s="1044"/>
      <c r="G92" s="1044"/>
      <c r="H92" s="1044"/>
      <c r="I92" s="1044"/>
      <c r="J92" s="418">
        <v>0</v>
      </c>
      <c r="K92" s="242">
        <f t="shared" si="5"/>
        <v>0</v>
      </c>
      <c r="L92" s="29"/>
      <c r="M92" s="503"/>
      <c r="N92" s="504"/>
      <c r="O92" s="504"/>
      <c r="P92" s="504"/>
      <c r="Q92" s="504"/>
    </row>
    <row r="93" spans="2:17" s="17" customFormat="1">
      <c r="B93" s="1055" t="s">
        <v>17</v>
      </c>
      <c r="C93" s="1056"/>
      <c r="D93" s="1056"/>
      <c r="E93" s="1056"/>
      <c r="F93" s="1056"/>
      <c r="G93" s="1056"/>
      <c r="H93" s="1056"/>
      <c r="I93" s="1057"/>
      <c r="J93" s="259">
        <f>SUM(J87:J92)</f>
        <v>9.8799999999999985E-2</v>
      </c>
      <c r="K93" s="260">
        <f>SUM(K87:K92)</f>
        <v>189.89399519999998</v>
      </c>
      <c r="L93" s="29"/>
      <c r="M93" s="503"/>
      <c r="N93" s="504"/>
      <c r="O93" s="504"/>
      <c r="P93" s="504"/>
      <c r="Q93" s="504"/>
    </row>
    <row r="94" spans="2:17" s="17" customFormat="1">
      <c r="B94" s="1058"/>
      <c r="C94" s="1028"/>
      <c r="D94" s="1028"/>
      <c r="E94" s="1028"/>
      <c r="F94" s="1028"/>
      <c r="G94" s="1028"/>
      <c r="H94" s="1028"/>
      <c r="I94" s="1028"/>
      <c r="J94" s="1028"/>
      <c r="K94" s="1029"/>
      <c r="L94" s="29"/>
      <c r="M94" s="503"/>
      <c r="N94" s="504"/>
      <c r="O94" s="504"/>
      <c r="P94" s="504"/>
      <c r="Q94" s="504"/>
    </row>
    <row r="95" spans="2:17" s="17" customFormat="1">
      <c r="B95" s="1055" t="s">
        <v>289</v>
      </c>
      <c r="C95" s="1056"/>
      <c r="D95" s="1056"/>
      <c r="E95" s="1056"/>
      <c r="F95" s="1056"/>
      <c r="G95" s="1056"/>
      <c r="H95" s="1056"/>
      <c r="I95" s="1056"/>
      <c r="J95" s="1057"/>
      <c r="K95" s="608" t="s">
        <v>1</v>
      </c>
      <c r="L95" s="29"/>
      <c r="M95" s="503"/>
      <c r="N95" s="504"/>
      <c r="O95" s="504"/>
      <c r="P95" s="504"/>
      <c r="Q95" s="504"/>
    </row>
    <row r="96" spans="2:17" s="17" customFormat="1">
      <c r="B96" s="609" t="s">
        <v>7</v>
      </c>
      <c r="C96" s="1038" t="s">
        <v>67</v>
      </c>
      <c r="D96" s="1039"/>
      <c r="E96" s="1039"/>
      <c r="F96" s="1039"/>
      <c r="G96" s="1039"/>
      <c r="H96" s="1039"/>
      <c r="I96" s="1039"/>
      <c r="J96" s="1040"/>
      <c r="K96" s="242">
        <v>0</v>
      </c>
      <c r="L96" s="29"/>
      <c r="M96" s="503"/>
      <c r="N96" s="504"/>
      <c r="O96" s="504"/>
      <c r="P96" s="504"/>
      <c r="Q96" s="504"/>
    </row>
    <row r="97" spans="2:17" s="17" customFormat="1">
      <c r="B97" s="1055" t="s">
        <v>257</v>
      </c>
      <c r="C97" s="1056"/>
      <c r="D97" s="1056"/>
      <c r="E97" s="1056"/>
      <c r="F97" s="1056"/>
      <c r="G97" s="1056"/>
      <c r="H97" s="1056"/>
      <c r="I97" s="1056"/>
      <c r="J97" s="1057"/>
      <c r="K97" s="260">
        <f>K96</f>
        <v>0</v>
      </c>
      <c r="L97" s="29"/>
      <c r="M97" s="503"/>
      <c r="N97" s="504"/>
      <c r="O97" s="504"/>
      <c r="P97" s="504"/>
      <c r="Q97" s="504"/>
    </row>
    <row r="98" spans="2:17" s="17" customFormat="1">
      <c r="B98" s="605"/>
      <c r="C98" s="606"/>
      <c r="D98" s="606"/>
      <c r="E98" s="606"/>
      <c r="F98" s="606"/>
      <c r="G98" s="606"/>
      <c r="H98" s="606"/>
      <c r="I98" s="606"/>
      <c r="J98" s="606"/>
      <c r="K98" s="607"/>
      <c r="L98" s="29"/>
      <c r="M98" s="503"/>
      <c r="N98" s="504"/>
      <c r="O98" s="504"/>
      <c r="P98" s="504"/>
      <c r="Q98" s="504"/>
    </row>
    <row r="99" spans="2:17" s="17" customFormat="1">
      <c r="B99" s="1030" t="s">
        <v>65</v>
      </c>
      <c r="C99" s="1030"/>
      <c r="D99" s="1030"/>
      <c r="E99" s="1030"/>
      <c r="F99" s="1030"/>
      <c r="G99" s="1030"/>
      <c r="H99" s="1030"/>
      <c r="I99" s="1030"/>
      <c r="J99" s="1030"/>
      <c r="K99" s="1030"/>
      <c r="L99" s="29"/>
      <c r="M99" s="503"/>
      <c r="N99" s="504"/>
      <c r="O99" s="504"/>
      <c r="P99" s="504"/>
      <c r="Q99" s="504"/>
    </row>
    <row r="100" spans="2:17" s="17" customFormat="1">
      <c r="B100" s="1030" t="s">
        <v>66</v>
      </c>
      <c r="C100" s="1030"/>
      <c r="D100" s="1030"/>
      <c r="E100" s="1030"/>
      <c r="F100" s="1030"/>
      <c r="G100" s="1030"/>
      <c r="H100" s="1030"/>
      <c r="I100" s="1030"/>
      <c r="J100" s="1030"/>
      <c r="K100" s="608" t="s">
        <v>1</v>
      </c>
      <c r="L100" s="29"/>
      <c r="M100" s="503"/>
      <c r="N100" s="504"/>
      <c r="O100" s="504"/>
      <c r="P100" s="504"/>
      <c r="Q100" s="504"/>
    </row>
    <row r="101" spans="2:17" s="17" customFormat="1">
      <c r="B101" s="609" t="s">
        <v>19</v>
      </c>
      <c r="C101" s="1038" t="s">
        <v>64</v>
      </c>
      <c r="D101" s="1039"/>
      <c r="E101" s="1039"/>
      <c r="F101" s="1039"/>
      <c r="G101" s="1039"/>
      <c r="H101" s="1039"/>
      <c r="I101" s="1039"/>
      <c r="J101" s="1040"/>
      <c r="K101" s="242">
        <f>K93</f>
        <v>189.89399519999998</v>
      </c>
      <c r="L101" s="29"/>
      <c r="M101" s="503"/>
      <c r="N101" s="504"/>
      <c r="O101" s="504"/>
      <c r="P101" s="504"/>
      <c r="Q101" s="504"/>
    </row>
    <row r="102" spans="2:17" s="17" customFormat="1">
      <c r="B102" s="243" t="s">
        <v>20</v>
      </c>
      <c r="C102" s="1027" t="s">
        <v>67</v>
      </c>
      <c r="D102" s="1027"/>
      <c r="E102" s="1027"/>
      <c r="F102" s="1027"/>
      <c r="G102" s="1027"/>
      <c r="H102" s="1027"/>
      <c r="I102" s="1027"/>
      <c r="J102" s="1027"/>
      <c r="K102" s="253">
        <v>0</v>
      </c>
      <c r="L102" s="29"/>
      <c r="M102" s="503"/>
      <c r="N102" s="504"/>
      <c r="O102" s="504"/>
      <c r="P102" s="504"/>
      <c r="Q102" s="504"/>
    </row>
    <row r="103" spans="2:17" s="17" customFormat="1">
      <c r="B103" s="1031" t="s">
        <v>68</v>
      </c>
      <c r="C103" s="1031"/>
      <c r="D103" s="1031"/>
      <c r="E103" s="1031"/>
      <c r="F103" s="1031"/>
      <c r="G103" s="1031"/>
      <c r="H103" s="1031"/>
      <c r="I103" s="1031"/>
      <c r="J103" s="1031"/>
      <c r="K103" s="249">
        <f>TRUNC(SUM(K101:K102),2)</f>
        <v>189.89</v>
      </c>
      <c r="L103" s="29"/>
      <c r="M103" s="503"/>
      <c r="N103" s="504"/>
      <c r="O103" s="504"/>
      <c r="P103" s="504"/>
      <c r="Q103" s="504"/>
    </row>
    <row r="104" spans="2:17" s="17" customFormat="1">
      <c r="B104" s="1030" t="s">
        <v>99</v>
      </c>
      <c r="C104" s="1030"/>
      <c r="D104" s="1030"/>
      <c r="E104" s="1030"/>
      <c r="F104" s="1030"/>
      <c r="G104" s="1030"/>
      <c r="H104" s="1030"/>
      <c r="I104" s="1030"/>
      <c r="J104" s="259">
        <f>J93+J83+J60+J49</f>
        <v>0.75363599999999997</v>
      </c>
      <c r="K104" s="520">
        <f>K93+K83+K60+K49</f>
        <v>1547.5560930186466</v>
      </c>
      <c r="L104" s="29"/>
      <c r="M104" s="503"/>
      <c r="N104" s="504"/>
      <c r="O104" s="504"/>
      <c r="P104" s="504"/>
      <c r="Q104" s="504"/>
    </row>
    <row r="105" spans="2:17" s="17" customFormat="1">
      <c r="B105" s="1058"/>
      <c r="C105" s="1028"/>
      <c r="D105" s="1028"/>
      <c r="E105" s="1028"/>
      <c r="F105" s="1028"/>
      <c r="G105" s="1028"/>
      <c r="H105" s="1028"/>
      <c r="I105" s="1028"/>
      <c r="J105" s="1028"/>
      <c r="K105" s="1029"/>
      <c r="L105" s="29"/>
      <c r="M105" s="503"/>
      <c r="N105" s="504"/>
      <c r="O105" s="504"/>
      <c r="P105" s="504"/>
      <c r="Q105" s="504"/>
    </row>
    <row r="106" spans="2:17" s="17" customFormat="1">
      <c r="B106" s="1030" t="s">
        <v>69</v>
      </c>
      <c r="C106" s="1030"/>
      <c r="D106" s="1030"/>
      <c r="E106" s="1030"/>
      <c r="F106" s="1030"/>
      <c r="G106" s="1030"/>
      <c r="H106" s="1030"/>
      <c r="I106" s="1030"/>
      <c r="J106" s="1030"/>
      <c r="K106" s="1030"/>
      <c r="L106" s="29"/>
      <c r="M106" s="503"/>
      <c r="N106" s="504"/>
      <c r="O106" s="504"/>
      <c r="P106" s="504"/>
      <c r="Q106" s="504"/>
    </row>
    <row r="107" spans="2:17" s="17" customFormat="1">
      <c r="B107" s="608">
        <v>5</v>
      </c>
      <c r="C107" s="1055" t="s">
        <v>16</v>
      </c>
      <c r="D107" s="1056"/>
      <c r="E107" s="1056"/>
      <c r="F107" s="1056"/>
      <c r="G107" s="1056"/>
      <c r="H107" s="1056"/>
      <c r="I107" s="1056"/>
      <c r="J107" s="1057"/>
      <c r="K107" s="608" t="s">
        <v>1</v>
      </c>
      <c r="L107" s="29"/>
      <c r="M107" s="503"/>
      <c r="N107" s="504"/>
      <c r="O107" s="504"/>
      <c r="P107" s="504"/>
      <c r="Q107" s="504"/>
    </row>
    <row r="108" spans="2:17" s="17" customFormat="1">
      <c r="B108" s="609" t="s">
        <v>7</v>
      </c>
      <c r="C108" s="1038" t="s">
        <v>107</v>
      </c>
      <c r="D108" s="1039"/>
      <c r="E108" s="1039"/>
      <c r="F108" s="1039"/>
      <c r="G108" s="1039"/>
      <c r="H108" s="1039"/>
      <c r="I108" s="1040"/>
      <c r="J108" s="238" t="s">
        <v>0</v>
      </c>
      <c r="K108" s="242">
        <f>Q13</f>
        <v>8.9696969696969688</v>
      </c>
      <c r="L108" s="29"/>
      <c r="M108" s="503"/>
      <c r="N108" s="504"/>
      <c r="O108" s="504"/>
      <c r="P108" s="504"/>
      <c r="Q108" s="504"/>
    </row>
    <row r="109" spans="2:17" s="17" customFormat="1">
      <c r="B109" s="609" t="s">
        <v>8</v>
      </c>
      <c r="C109" s="1038" t="s">
        <v>426</v>
      </c>
      <c r="D109" s="1039"/>
      <c r="E109" s="1039"/>
      <c r="F109" s="1039"/>
      <c r="G109" s="1039"/>
      <c r="H109" s="1039"/>
      <c r="I109" s="1040"/>
      <c r="J109" s="238" t="s">
        <v>0</v>
      </c>
      <c r="K109" s="242">
        <f>Q26+Q73</f>
        <v>8.6015151515151516</v>
      </c>
      <c r="L109" s="29"/>
      <c r="M109" s="503"/>
      <c r="N109" s="504"/>
      <c r="O109" s="504"/>
      <c r="P109" s="504"/>
      <c r="Q109" s="504"/>
    </row>
    <row r="110" spans="2:17" s="17" customFormat="1">
      <c r="B110" s="250" t="s">
        <v>9</v>
      </c>
      <c r="C110" s="1027" t="s">
        <v>428</v>
      </c>
      <c r="D110" s="1027"/>
      <c r="E110" s="1027"/>
      <c r="F110" s="1027"/>
      <c r="G110" s="1027"/>
      <c r="H110" s="1027"/>
      <c r="I110" s="1027"/>
      <c r="J110" s="238" t="s">
        <v>0</v>
      </c>
      <c r="K110" s="242">
        <f>Q33+Q38</f>
        <v>2.310606060606061</v>
      </c>
      <c r="L110" s="29"/>
      <c r="M110" s="503"/>
      <c r="N110" s="504"/>
      <c r="O110" s="504"/>
      <c r="P110" s="504"/>
      <c r="Q110" s="504"/>
    </row>
    <row r="111" spans="2:17" s="17" customFormat="1">
      <c r="B111" s="250" t="s">
        <v>10</v>
      </c>
      <c r="C111" s="1027"/>
      <c r="D111" s="1027"/>
      <c r="E111" s="1027"/>
      <c r="F111" s="1027"/>
      <c r="G111" s="1027"/>
      <c r="H111" s="1027"/>
      <c r="I111" s="1027"/>
      <c r="J111" s="238"/>
      <c r="K111" s="242"/>
      <c r="L111" s="29"/>
      <c r="M111" s="503"/>
      <c r="N111" s="504"/>
      <c r="O111" s="504"/>
      <c r="P111" s="504"/>
      <c r="Q111" s="504"/>
    </row>
    <row r="112" spans="2:17" s="17" customFormat="1">
      <c r="B112" s="1083" t="s">
        <v>70</v>
      </c>
      <c r="C112" s="1083"/>
      <c r="D112" s="1083"/>
      <c r="E112" s="1083"/>
      <c r="F112" s="1083"/>
      <c r="G112" s="1083"/>
      <c r="H112" s="1083"/>
      <c r="I112" s="1083"/>
      <c r="J112" s="419" t="s">
        <v>0</v>
      </c>
      <c r="K112" s="415">
        <f>TRUNC(SUM(K108:K111),2)</f>
        <v>19.88</v>
      </c>
      <c r="L112" s="29"/>
      <c r="M112" s="503"/>
      <c r="N112" s="504"/>
      <c r="O112" s="504"/>
      <c r="P112" s="504"/>
      <c r="Q112" s="504"/>
    </row>
    <row r="113" spans="2:18" s="17" customFormat="1">
      <c r="B113" s="1084" t="s">
        <v>71</v>
      </c>
      <c r="C113" s="1084"/>
      <c r="D113" s="1084"/>
      <c r="E113" s="1084"/>
      <c r="F113" s="1084"/>
      <c r="G113" s="1084"/>
      <c r="H113" s="1084"/>
      <c r="I113" s="1084"/>
      <c r="J113" s="1084"/>
      <c r="K113" s="1084"/>
      <c r="L113" s="29"/>
      <c r="M113" s="503"/>
      <c r="N113" s="504"/>
      <c r="O113" s="504"/>
      <c r="P113" s="504"/>
      <c r="Q113" s="504"/>
    </row>
    <row r="114" spans="2:18" s="17" customFormat="1">
      <c r="B114" s="609">
        <v>6</v>
      </c>
      <c r="C114" s="1085" t="s">
        <v>18</v>
      </c>
      <c r="D114" s="1085"/>
      <c r="E114" s="1085"/>
      <c r="F114" s="1085"/>
      <c r="G114" s="1085"/>
      <c r="H114" s="1085"/>
      <c r="I114" s="1085"/>
      <c r="J114" s="609" t="s">
        <v>3</v>
      </c>
      <c r="K114" s="609" t="s">
        <v>1</v>
      </c>
      <c r="L114" s="29"/>
      <c r="M114" s="503"/>
      <c r="N114" s="504"/>
      <c r="O114" s="504"/>
      <c r="P114" s="504"/>
      <c r="Q114" s="504"/>
    </row>
    <row r="115" spans="2:18" s="17" customFormat="1">
      <c r="B115" s="609" t="s">
        <v>7</v>
      </c>
      <c r="C115" s="1044" t="s">
        <v>21</v>
      </c>
      <c r="D115" s="1044"/>
      <c r="E115" s="1044"/>
      <c r="F115" s="1044"/>
      <c r="G115" s="1044"/>
      <c r="H115" s="1044"/>
      <c r="I115" s="1044"/>
      <c r="J115" s="389">
        <v>1.9099999999999999E-2</v>
      </c>
      <c r="K115" s="355">
        <f>TRUNC(J115*K140,2)</f>
        <v>80.7</v>
      </c>
      <c r="L115" s="29"/>
      <c r="M115" s="692"/>
      <c r="N115" s="504"/>
      <c r="O115" s="504"/>
      <c r="P115" s="504"/>
      <c r="Q115" s="504"/>
    </row>
    <row r="116" spans="2:18" s="17" customFormat="1">
      <c r="B116" s="243" t="s">
        <v>8</v>
      </c>
      <c r="C116" s="1044" t="s">
        <v>4</v>
      </c>
      <c r="D116" s="1044"/>
      <c r="E116" s="1044"/>
      <c r="F116" s="1044"/>
      <c r="G116" s="1044"/>
      <c r="H116" s="1044"/>
      <c r="I116" s="1044"/>
      <c r="J116" s="389">
        <v>2.077E-2</v>
      </c>
      <c r="K116" s="355">
        <f>TRUNC(J116*(K115+K140),2)</f>
        <v>89.43</v>
      </c>
      <c r="L116" s="29"/>
      <c r="M116" s="503"/>
      <c r="N116" s="504"/>
      <c r="O116" s="504"/>
      <c r="P116" s="504"/>
      <c r="Q116" s="504"/>
    </row>
    <row r="117" spans="2:18" s="17" customFormat="1">
      <c r="B117" s="604" t="s">
        <v>9</v>
      </c>
      <c r="C117" s="1086">
        <v>2.15</v>
      </c>
      <c r="D117" s="1087"/>
      <c r="E117" s="1087"/>
      <c r="F117" s="1087"/>
      <c r="G117" s="1087"/>
      <c r="H117" s="1087"/>
      <c r="I117" s="1087"/>
      <c r="J117" s="1088"/>
      <c r="K117" s="1089"/>
      <c r="L117" s="29"/>
      <c r="M117" s="692"/>
      <c r="N117" s="504"/>
      <c r="O117" s="504"/>
      <c r="P117" s="504"/>
      <c r="Q117" s="504"/>
    </row>
    <row r="118" spans="2:18" s="17" customFormat="1">
      <c r="B118" s="243" t="s">
        <v>29</v>
      </c>
      <c r="C118" s="1044" t="s">
        <v>82</v>
      </c>
      <c r="D118" s="1044"/>
      <c r="E118" s="1044"/>
      <c r="F118" s="1044"/>
      <c r="G118" s="1044"/>
      <c r="H118" s="1044"/>
      <c r="I118" s="1044"/>
      <c r="J118" s="245">
        <v>6.4999999999999997E-3</v>
      </c>
      <c r="K118" s="426">
        <f>TRUNC(J118*K129,2)</f>
        <v>31.27</v>
      </c>
      <c r="L118" s="29"/>
      <c r="M118" s="503"/>
      <c r="N118" s="504"/>
      <c r="O118" s="504"/>
      <c r="P118" s="504"/>
      <c r="Q118" s="504"/>
      <c r="R118" s="128"/>
    </row>
    <row r="119" spans="2:18" s="17" customFormat="1">
      <c r="B119" s="243" t="s">
        <v>29</v>
      </c>
      <c r="C119" s="1044" t="s">
        <v>77</v>
      </c>
      <c r="D119" s="1044"/>
      <c r="E119" s="1044"/>
      <c r="F119" s="1044"/>
      <c r="G119" s="1044"/>
      <c r="H119" s="1044"/>
      <c r="I119" s="1044"/>
      <c r="J119" s="245">
        <v>0.03</v>
      </c>
      <c r="K119" s="426">
        <f>TRUNC(J119*K129,2)</f>
        <v>144.35</v>
      </c>
      <c r="M119" s="503"/>
      <c r="N119" s="504"/>
      <c r="O119" s="504"/>
      <c r="P119" s="504"/>
      <c r="Q119" s="504"/>
    </row>
    <row r="120" spans="2:18" s="17" customFormat="1">
      <c r="B120" s="243" t="s">
        <v>30</v>
      </c>
      <c r="C120" s="1044" t="s">
        <v>80</v>
      </c>
      <c r="D120" s="1044"/>
      <c r="E120" s="1044"/>
      <c r="F120" s="1044"/>
      <c r="G120" s="1044"/>
      <c r="H120" s="1044"/>
      <c r="I120" s="1044"/>
      <c r="J120" s="247" t="s">
        <v>79</v>
      </c>
      <c r="K120" s="426">
        <v>0</v>
      </c>
      <c r="L120" s="25"/>
      <c r="M120" s="503"/>
      <c r="N120" s="504"/>
      <c r="O120" s="504"/>
      <c r="P120" s="504"/>
      <c r="Q120" s="504"/>
    </row>
    <row r="121" spans="2:18" s="17" customFormat="1">
      <c r="B121" s="243" t="s">
        <v>31</v>
      </c>
      <c r="C121" s="1044" t="s">
        <v>78</v>
      </c>
      <c r="D121" s="1044"/>
      <c r="E121" s="1044"/>
      <c r="F121" s="1044"/>
      <c r="G121" s="1044"/>
      <c r="H121" s="1044"/>
      <c r="I121" s="1044"/>
      <c r="J121" s="245">
        <v>0.05</v>
      </c>
      <c r="K121" s="426">
        <f>TRUNC(J121*K129,2)</f>
        <v>240.58</v>
      </c>
      <c r="M121" s="503"/>
      <c r="N121" s="504"/>
      <c r="O121" s="504"/>
      <c r="P121" s="504"/>
      <c r="Q121" s="504"/>
    </row>
    <row r="122" spans="2:18" s="17" customFormat="1">
      <c r="B122" s="1080" t="s">
        <v>72</v>
      </c>
      <c r="C122" s="1080"/>
      <c r="D122" s="1080"/>
      <c r="E122" s="1080"/>
      <c r="F122" s="1080"/>
      <c r="G122" s="1080"/>
      <c r="H122" s="1080"/>
      <c r="I122" s="1080"/>
      <c r="J122" s="420">
        <f>SUM(J115:J121)</f>
        <v>0.12636999999999998</v>
      </c>
      <c r="K122" s="523">
        <f>TRUNC(SUM(K115:K121),2)</f>
        <v>586.33000000000004</v>
      </c>
      <c r="L122" s="25"/>
      <c r="M122" s="503"/>
      <c r="N122" s="504"/>
      <c r="O122" s="504"/>
      <c r="P122" s="504"/>
      <c r="Q122" s="504"/>
    </row>
    <row r="123" spans="2:18" s="17" customFormat="1">
      <c r="B123" s="291"/>
      <c r="C123" s="606"/>
      <c r="D123" s="1081"/>
      <c r="E123" s="1081"/>
      <c r="F123" s="1081"/>
      <c r="G123" s="1081"/>
      <c r="H123" s="1081"/>
      <c r="I123" s="1081"/>
      <c r="J123" s="1081"/>
      <c r="K123" s="1082"/>
      <c r="M123" s="503"/>
      <c r="N123" s="504"/>
      <c r="O123" s="504"/>
      <c r="P123" s="504"/>
      <c r="Q123" s="504"/>
    </row>
    <row r="124" spans="2:18" s="17" customFormat="1">
      <c r="B124" s="300" t="s">
        <v>32</v>
      </c>
      <c r="C124" s="301"/>
      <c r="D124" s="1071" t="s">
        <v>33</v>
      </c>
      <c r="E124" s="1071"/>
      <c r="F124" s="1071"/>
      <c r="G124" s="1071"/>
      <c r="H124" s="1071"/>
      <c r="I124" s="1072"/>
      <c r="J124" s="1073">
        <f>TRUNC(J118+J119+J121,4)</f>
        <v>8.6499999999999994E-2</v>
      </c>
      <c r="K124" s="1074"/>
      <c r="L124" s="25"/>
      <c r="M124" s="503"/>
      <c r="N124" s="504"/>
      <c r="O124" s="504"/>
      <c r="P124" s="504"/>
      <c r="Q124" s="504"/>
    </row>
    <row r="125" spans="2:18" s="17" customFormat="1">
      <c r="B125" s="233"/>
      <c r="C125" s="302"/>
      <c r="D125" s="1077">
        <v>100</v>
      </c>
      <c r="E125" s="1078"/>
      <c r="F125" s="1078"/>
      <c r="G125" s="1078"/>
      <c r="H125" s="1078"/>
      <c r="I125" s="1079"/>
      <c r="J125" s="1075"/>
      <c r="K125" s="1076"/>
      <c r="M125" s="503"/>
      <c r="N125" s="504"/>
      <c r="O125" s="504"/>
      <c r="P125" s="504"/>
      <c r="Q125" s="504"/>
      <c r="R125" s="127"/>
    </row>
    <row r="126" spans="2:18" s="17" customFormat="1">
      <c r="B126" s="311"/>
      <c r="C126" s="310"/>
      <c r="D126" s="598"/>
      <c r="E126" s="598"/>
      <c r="F126" s="598"/>
      <c r="G126" s="598"/>
      <c r="H126" s="598"/>
      <c r="I126" s="599"/>
      <c r="J126" s="600"/>
      <c r="K126" s="413"/>
      <c r="M126" s="503"/>
      <c r="N126" s="504"/>
      <c r="O126" s="504"/>
      <c r="P126" s="504"/>
      <c r="Q126" s="504"/>
    </row>
    <row r="127" spans="2:18" s="17" customFormat="1">
      <c r="B127" s="233" t="s">
        <v>34</v>
      </c>
      <c r="C127" s="302"/>
      <c r="D127" s="1078" t="s">
        <v>73</v>
      </c>
      <c r="E127" s="1078"/>
      <c r="F127" s="1078"/>
      <c r="G127" s="1078"/>
      <c r="H127" s="1078"/>
      <c r="I127" s="1079"/>
      <c r="J127" s="601"/>
      <c r="K127" s="429">
        <f>TRUNC(K140+K115+K116,2)</f>
        <v>4395.57</v>
      </c>
      <c r="M127" s="503"/>
      <c r="N127" s="504"/>
      <c r="O127" s="504"/>
      <c r="P127" s="504"/>
      <c r="Q127" s="504"/>
    </row>
    <row r="128" spans="2:18" s="17" customFormat="1">
      <c r="B128" s="300"/>
      <c r="C128" s="301"/>
      <c r="D128" s="598"/>
      <c r="E128" s="598"/>
      <c r="F128" s="598"/>
      <c r="G128" s="598"/>
      <c r="H128" s="598"/>
      <c r="I128" s="599"/>
      <c r="J128" s="600"/>
      <c r="K128" s="414"/>
      <c r="M128" s="503"/>
      <c r="N128" s="504"/>
      <c r="O128" s="504"/>
      <c r="P128" s="504"/>
      <c r="Q128" s="504"/>
    </row>
    <row r="129" spans="2:17" s="17" customFormat="1">
      <c r="B129" s="233" t="s">
        <v>35</v>
      </c>
      <c r="C129" s="302"/>
      <c r="D129" s="1078" t="s">
        <v>36</v>
      </c>
      <c r="E129" s="1078"/>
      <c r="F129" s="1078"/>
      <c r="G129" s="1078"/>
      <c r="H129" s="1078"/>
      <c r="I129" s="1079"/>
      <c r="J129" s="601"/>
      <c r="K129" s="429">
        <f>K127/(1-J124)</f>
        <v>4811.7898193760257</v>
      </c>
      <c r="M129" s="503"/>
      <c r="N129" s="504"/>
      <c r="O129" s="504"/>
      <c r="P129" s="504"/>
      <c r="Q129" s="504"/>
    </row>
    <row r="130" spans="2:17" s="17" customFormat="1">
      <c r="B130" s="610"/>
      <c r="C130" s="301"/>
      <c r="D130" s="598"/>
      <c r="E130" s="598"/>
      <c r="F130" s="598"/>
      <c r="G130" s="598"/>
      <c r="H130" s="598"/>
      <c r="I130" s="599"/>
      <c r="J130" s="600"/>
      <c r="K130" s="414"/>
      <c r="M130" s="503"/>
      <c r="N130" s="504"/>
      <c r="O130" s="504"/>
      <c r="P130" s="504"/>
      <c r="Q130" s="504"/>
    </row>
    <row r="131" spans="2:17" s="17" customFormat="1">
      <c r="B131" s="291"/>
      <c r="C131" s="302"/>
      <c r="D131" s="1078" t="s">
        <v>37</v>
      </c>
      <c r="E131" s="1078"/>
      <c r="F131" s="1078"/>
      <c r="G131" s="1078"/>
      <c r="H131" s="1078"/>
      <c r="I131" s="1079"/>
      <c r="J131" s="601"/>
      <c r="K131" s="429">
        <f>TRUNC(K129-K127,2)</f>
        <v>416.21</v>
      </c>
      <c r="M131" s="503"/>
      <c r="N131" s="504"/>
      <c r="O131" s="504"/>
      <c r="P131" s="504"/>
      <c r="Q131" s="504"/>
    </row>
    <row r="132" spans="2:17" s="17" customFormat="1">
      <c r="B132" s="291"/>
      <c r="C132" s="606"/>
      <c r="D132" s="606"/>
      <c r="E132" s="606"/>
      <c r="F132" s="606"/>
      <c r="G132" s="606"/>
      <c r="H132" s="606"/>
      <c r="I132" s="606"/>
      <c r="J132" s="606"/>
      <c r="K132" s="295"/>
      <c r="M132" s="503"/>
      <c r="N132" s="504"/>
      <c r="O132" s="504"/>
      <c r="P132" s="504"/>
      <c r="Q132" s="504"/>
    </row>
    <row r="133" spans="2:17" s="17" customFormat="1">
      <c r="B133" s="1064" t="s">
        <v>83</v>
      </c>
      <c r="C133" s="1064"/>
      <c r="D133" s="1064"/>
      <c r="E133" s="1064"/>
      <c r="F133" s="1064"/>
      <c r="G133" s="1064"/>
      <c r="H133" s="1064"/>
      <c r="I133" s="1064"/>
      <c r="J133" s="1064"/>
      <c r="K133" s="1064"/>
      <c r="M133" s="503"/>
      <c r="N133" s="504"/>
      <c r="O133" s="504"/>
      <c r="P133" s="504"/>
      <c r="Q133" s="504"/>
    </row>
    <row r="134" spans="2:17" s="17" customFormat="1">
      <c r="B134" s="1065" t="s">
        <v>22</v>
      </c>
      <c r="C134" s="1065"/>
      <c r="D134" s="1065"/>
      <c r="E134" s="1065"/>
      <c r="F134" s="1065"/>
      <c r="G134" s="1065"/>
      <c r="H134" s="1065"/>
      <c r="I134" s="1065"/>
      <c r="J134" s="1065"/>
      <c r="K134" s="604" t="s">
        <v>1</v>
      </c>
      <c r="M134" s="503"/>
      <c r="N134" s="504"/>
      <c r="O134" s="504"/>
      <c r="P134" s="504"/>
      <c r="Q134" s="504"/>
    </row>
    <row r="135" spans="2:17" s="17" customFormat="1">
      <c r="B135" s="238" t="s">
        <v>7</v>
      </c>
      <c r="C135" s="1044" t="str">
        <f>B31</f>
        <v>MÓDULO 1 - COMPOSIÇÃO DA REMUNERAÇÃO</v>
      </c>
      <c r="D135" s="1044"/>
      <c r="E135" s="1044"/>
      <c r="F135" s="1044"/>
      <c r="G135" s="1044"/>
      <c r="H135" s="1044"/>
      <c r="I135" s="1044"/>
      <c r="J135" s="1044"/>
      <c r="K135" s="355">
        <f>K43</f>
        <v>1922.0039999999999</v>
      </c>
      <c r="M135" s="595"/>
      <c r="N135" s="504"/>
      <c r="O135" s="504"/>
      <c r="P135" s="504"/>
      <c r="Q135" s="504"/>
    </row>
    <row r="136" spans="2:17" s="17" customFormat="1">
      <c r="B136" s="240" t="s">
        <v>8</v>
      </c>
      <c r="C136" s="1044" t="str">
        <f>B45</f>
        <v>MÓDULO 2 – ENCARGOS E BENEFÍCIOS ANUAIS, MENSAIS E DIÁRIOS</v>
      </c>
      <c r="D136" s="1044"/>
      <c r="E136" s="1044"/>
      <c r="F136" s="1044"/>
      <c r="G136" s="1044"/>
      <c r="H136" s="1044"/>
      <c r="I136" s="1044"/>
      <c r="J136" s="1044"/>
      <c r="K136" s="426">
        <f>K74</f>
        <v>2000.97</v>
      </c>
      <c r="M136" s="595"/>
      <c r="N136" s="504"/>
      <c r="O136" s="504"/>
      <c r="P136" s="504"/>
      <c r="Q136" s="504"/>
    </row>
    <row r="137" spans="2:17" s="17" customFormat="1">
      <c r="B137" s="240" t="s">
        <v>9</v>
      </c>
      <c r="C137" s="1044" t="str">
        <f>B75</f>
        <v>MÓDULO 3 – PROVISÃO PARA RESCISÃO</v>
      </c>
      <c r="D137" s="1044"/>
      <c r="E137" s="1044"/>
      <c r="F137" s="1044"/>
      <c r="G137" s="1044"/>
      <c r="H137" s="1044"/>
      <c r="I137" s="1044"/>
      <c r="J137" s="1044"/>
      <c r="K137" s="426">
        <f>K83</f>
        <v>92.695049418646562</v>
      </c>
      <c r="M137" s="595"/>
      <c r="N137" s="504"/>
      <c r="O137" s="504"/>
      <c r="P137" s="504"/>
      <c r="Q137" s="504"/>
    </row>
    <row r="138" spans="2:17" s="17" customFormat="1">
      <c r="B138" s="238" t="s">
        <v>10</v>
      </c>
      <c r="C138" s="1044" t="str">
        <f>B85</f>
        <v>MÓDULO 4 – CUSTO DE REPOSIÇÃO DO PROFISSIONAL AUSENTE</v>
      </c>
      <c r="D138" s="1044"/>
      <c r="E138" s="1044"/>
      <c r="F138" s="1044"/>
      <c r="G138" s="1044"/>
      <c r="H138" s="1044"/>
      <c r="I138" s="1044"/>
      <c r="J138" s="1044"/>
      <c r="K138" s="426">
        <f>K103</f>
        <v>189.89</v>
      </c>
      <c r="M138" s="595"/>
      <c r="N138" s="504"/>
      <c r="O138" s="504"/>
      <c r="P138" s="504"/>
      <c r="Q138" s="504"/>
    </row>
    <row r="139" spans="2:17" s="17" customFormat="1" ht="15.75" thickBot="1">
      <c r="B139" s="424" t="s">
        <v>11</v>
      </c>
      <c r="C139" s="1061" t="str">
        <f>B106</f>
        <v>MÓDULO 5 – INSUMOS DIVERSOS</v>
      </c>
      <c r="D139" s="1061"/>
      <c r="E139" s="1061"/>
      <c r="F139" s="1061"/>
      <c r="G139" s="1061"/>
      <c r="H139" s="1061"/>
      <c r="I139" s="1061"/>
      <c r="J139" s="1061"/>
      <c r="K139" s="427">
        <f>K112</f>
        <v>19.88</v>
      </c>
      <c r="M139" s="595"/>
      <c r="N139" s="504"/>
      <c r="O139" s="504"/>
      <c r="P139" s="504"/>
      <c r="Q139" s="504"/>
    </row>
    <row r="140" spans="2:17" s="17" customFormat="1">
      <c r="B140" s="1062" t="s">
        <v>74</v>
      </c>
      <c r="C140" s="1063"/>
      <c r="D140" s="1063"/>
      <c r="E140" s="1063"/>
      <c r="F140" s="1063"/>
      <c r="G140" s="1063"/>
      <c r="H140" s="1063"/>
      <c r="I140" s="1063"/>
      <c r="J140" s="1063"/>
      <c r="K140" s="430">
        <f>TRUNC(SUM(K135:K139),2)+0.01</f>
        <v>4225.4400000000005</v>
      </c>
      <c r="M140" s="595"/>
      <c r="N140" s="504"/>
      <c r="O140" s="504"/>
      <c r="P140" s="504"/>
      <c r="Q140" s="504"/>
    </row>
    <row r="141" spans="2:17" s="17" customFormat="1">
      <c r="B141" s="425" t="s">
        <v>13</v>
      </c>
      <c r="C141" s="1061" t="str">
        <f>B113</f>
        <v>MÓDULO 6 – CUSTOS INDIRETOS, TRIBUTOS E LUCRO</v>
      </c>
      <c r="D141" s="1061"/>
      <c r="E141" s="1061"/>
      <c r="F141" s="1061"/>
      <c r="G141" s="1061"/>
      <c r="H141" s="1061"/>
      <c r="I141" s="1061"/>
      <c r="J141" s="1061"/>
      <c r="K141" s="428">
        <f>K122</f>
        <v>586.33000000000004</v>
      </c>
      <c r="M141" s="595"/>
      <c r="N141" s="504"/>
      <c r="O141" s="504"/>
      <c r="P141" s="504"/>
      <c r="Q141" s="504"/>
    </row>
    <row r="142" spans="2:17" s="17" customFormat="1">
      <c r="B142" s="1064" t="s">
        <v>75</v>
      </c>
      <c r="C142" s="1064"/>
      <c r="D142" s="1064"/>
      <c r="E142" s="1064"/>
      <c r="F142" s="1064"/>
      <c r="G142" s="1064"/>
      <c r="H142" s="1064"/>
      <c r="I142" s="1064"/>
      <c r="J142" s="1064"/>
      <c r="K142" s="347">
        <f>(K140+K116+K115)/(1-J124)</f>
        <v>4811.7898193760275</v>
      </c>
      <c r="M142" s="595"/>
      <c r="N142" s="504"/>
      <c r="O142" s="504"/>
      <c r="P142" s="504"/>
      <c r="Q142" s="504"/>
    </row>
    <row r="143" spans="2:17" s="17" customFormat="1">
      <c r="B143" s="1064" t="s">
        <v>100</v>
      </c>
      <c r="C143" s="1064"/>
      <c r="D143" s="1064"/>
      <c r="E143" s="1064"/>
      <c r="F143" s="1064"/>
      <c r="G143" s="1064"/>
      <c r="H143" s="1064"/>
      <c r="I143" s="1064"/>
      <c r="J143" s="1064"/>
      <c r="K143" s="347">
        <v>1</v>
      </c>
      <c r="M143" s="503"/>
      <c r="N143" s="504"/>
      <c r="O143" s="504"/>
      <c r="P143" s="504"/>
      <c r="Q143" s="504"/>
    </row>
    <row r="144" spans="2:17" s="17" customFormat="1">
      <c r="B144" s="1064" t="s">
        <v>143</v>
      </c>
      <c r="C144" s="1064"/>
      <c r="D144" s="1064"/>
      <c r="E144" s="1064"/>
      <c r="F144" s="1064"/>
      <c r="G144" s="1064"/>
      <c r="H144" s="1064"/>
      <c r="I144" s="1064"/>
      <c r="J144" s="1064"/>
      <c r="K144" s="347">
        <f>K142*K143</f>
        <v>4811.7898193760275</v>
      </c>
      <c r="M144" s="595"/>
      <c r="N144" s="504"/>
      <c r="O144" s="504"/>
      <c r="P144" s="504"/>
      <c r="Q144" s="504"/>
    </row>
    <row r="145" spans="2:17" s="17" customFormat="1">
      <c r="B145" s="1064" t="s">
        <v>122</v>
      </c>
      <c r="C145" s="1064"/>
      <c r="D145" s="1064"/>
      <c r="E145" s="1064"/>
      <c r="F145" s="1064"/>
      <c r="G145" s="1064"/>
      <c r="H145" s="1064"/>
      <c r="I145" s="1064"/>
      <c r="J145" s="1064"/>
      <c r="K145" s="347">
        <v>1</v>
      </c>
      <c r="L145" s="16"/>
      <c r="M145" s="503"/>
      <c r="N145" s="504"/>
      <c r="O145" s="504"/>
      <c r="P145" s="504"/>
      <c r="Q145" s="504"/>
    </row>
    <row r="146" spans="2:17" s="17" customFormat="1">
      <c r="B146" s="1064" t="s">
        <v>144</v>
      </c>
      <c r="C146" s="1064"/>
      <c r="D146" s="1064"/>
      <c r="E146" s="1064"/>
      <c r="F146" s="1064"/>
      <c r="G146" s="1064"/>
      <c r="H146" s="1064"/>
      <c r="I146" s="1064"/>
      <c r="J146" s="1064"/>
      <c r="K146" s="347">
        <f>K144*K145</f>
        <v>4811.7898193760275</v>
      </c>
      <c r="M146" s="595"/>
      <c r="N146" s="504"/>
      <c r="O146" s="504"/>
      <c r="P146" s="504"/>
      <c r="Q146" s="504"/>
    </row>
    <row r="147" spans="2:17" s="17" customFormat="1">
      <c r="B147" s="1064" t="s">
        <v>145</v>
      </c>
      <c r="C147" s="1064"/>
      <c r="D147" s="1064"/>
      <c r="E147" s="1064"/>
      <c r="F147" s="1064"/>
      <c r="G147" s="1064"/>
      <c r="H147" s="1064"/>
      <c r="I147" s="1064"/>
      <c r="J147" s="1064"/>
      <c r="K147" s="347">
        <f>K146*12</f>
        <v>57741.477832512333</v>
      </c>
      <c r="M147" s="503"/>
      <c r="N147" s="504"/>
      <c r="O147" s="504"/>
      <c r="P147" s="504"/>
      <c r="Q147" s="504"/>
    </row>
    <row r="148" spans="2:17" s="29" customFormat="1">
      <c r="B148" s="234"/>
      <c r="C148" s="421"/>
      <c r="D148" s="421"/>
      <c r="E148" s="421"/>
      <c r="F148" s="421"/>
      <c r="G148" s="421"/>
      <c r="H148" s="421"/>
      <c r="I148" s="421"/>
      <c r="J148" s="421"/>
      <c r="K148" s="421"/>
      <c r="M148" s="595"/>
      <c r="N148" s="504"/>
      <c r="O148" s="504"/>
      <c r="P148" s="504"/>
      <c r="Q148" s="504"/>
    </row>
    <row r="149" spans="2:17" s="29" customFormat="1" ht="15" customHeight="1">
      <c r="B149" s="422"/>
      <c r="C149" s="422"/>
      <c r="D149" s="422"/>
      <c r="E149" s="422"/>
      <c r="F149" s="422"/>
      <c r="G149" s="422"/>
      <c r="H149" s="533"/>
      <c r="I149" s="533"/>
      <c r="J149" s="533"/>
      <c r="K149" s="533"/>
      <c r="M149" s="503"/>
      <c r="N149" s="504"/>
      <c r="O149" s="504"/>
      <c r="P149" s="504"/>
      <c r="Q149" s="504"/>
    </row>
    <row r="150" spans="2:17" s="29" customFormat="1" ht="15.75">
      <c r="B150" s="422"/>
      <c r="C150" s="422"/>
      <c r="D150" s="422"/>
      <c r="E150" s="422"/>
      <c r="F150" s="422"/>
      <c r="G150" s="422"/>
      <c r="H150" s="533"/>
      <c r="I150" s="533"/>
      <c r="J150" s="533"/>
      <c r="K150" s="533"/>
      <c r="M150" s="503"/>
      <c r="N150" s="504"/>
      <c r="O150" s="504"/>
      <c r="P150" s="504"/>
      <c r="Q150" s="504"/>
    </row>
    <row r="151" spans="2:17" s="29" customFormat="1" ht="15.75">
      <c r="B151" s="236"/>
      <c r="C151" s="236"/>
      <c r="D151" s="236"/>
      <c r="E151" s="236"/>
      <c r="F151" s="236"/>
      <c r="G151" s="236"/>
      <c r="H151" s="533"/>
      <c r="I151" s="533"/>
      <c r="J151" s="533"/>
      <c r="K151" s="533"/>
      <c r="M151" s="503"/>
      <c r="N151" s="504"/>
      <c r="O151" s="504"/>
      <c r="P151" s="504"/>
      <c r="Q151" s="504"/>
    </row>
    <row r="152" spans="2:17" s="423" customFormat="1" ht="15.75">
      <c r="B152" s="236"/>
      <c r="C152" s="236"/>
      <c r="D152" s="236"/>
      <c r="E152" s="236"/>
      <c r="F152" s="236"/>
      <c r="G152" s="236"/>
      <c r="H152" s="1059"/>
      <c r="I152" s="1059"/>
      <c r="J152" s="1059"/>
      <c r="K152" s="1059"/>
      <c r="M152" s="503"/>
      <c r="N152" s="504"/>
      <c r="O152" s="504"/>
      <c r="P152" s="504"/>
      <c r="Q152" s="504"/>
    </row>
    <row r="153" spans="2:17" s="423" customFormat="1" ht="15.75">
      <c r="B153" s="236"/>
      <c r="C153" s="236"/>
      <c r="D153" s="236"/>
      <c r="E153" s="236"/>
      <c r="F153" s="236"/>
      <c r="G153" s="236"/>
      <c r="H153" s="1060"/>
      <c r="I153" s="1060"/>
      <c r="J153" s="1060"/>
      <c r="K153" s="1060"/>
      <c r="M153" s="503"/>
      <c r="N153" s="504"/>
      <c r="O153" s="504"/>
      <c r="P153" s="504"/>
      <c r="Q153" s="504"/>
    </row>
  </sheetData>
  <mergeCells count="166">
    <mergeCell ref="H152:K152"/>
    <mergeCell ref="H153:K153"/>
    <mergeCell ref="B43:J43"/>
    <mergeCell ref="B142:J142"/>
    <mergeCell ref="B143:J143"/>
    <mergeCell ref="B144:J144"/>
    <mergeCell ref="B145:J145"/>
    <mergeCell ref="B146:J146"/>
    <mergeCell ref="B147:J147"/>
    <mergeCell ref="C136:J136"/>
    <mergeCell ref="C137:J137"/>
    <mergeCell ref="C138:J138"/>
    <mergeCell ref="C139:J139"/>
    <mergeCell ref="B140:J140"/>
    <mergeCell ref="C141:J141"/>
    <mergeCell ref="D127:I127"/>
    <mergeCell ref="D129:I129"/>
    <mergeCell ref="D131:I131"/>
    <mergeCell ref="B133:K133"/>
    <mergeCell ref="B134:J134"/>
    <mergeCell ref="C135:J135"/>
    <mergeCell ref="C121:I121"/>
    <mergeCell ref="B122:I122"/>
    <mergeCell ref="D123:K123"/>
    <mergeCell ref="D124:I124"/>
    <mergeCell ref="J124:K125"/>
    <mergeCell ref="D125:I125"/>
    <mergeCell ref="C115:I115"/>
    <mergeCell ref="C116:I116"/>
    <mergeCell ref="C117:K117"/>
    <mergeCell ref="C118:I118"/>
    <mergeCell ref="C119:I119"/>
    <mergeCell ref="C120:I120"/>
    <mergeCell ref="C108:I108"/>
    <mergeCell ref="C109:I109"/>
    <mergeCell ref="C111:I111"/>
    <mergeCell ref="B112:I112"/>
    <mergeCell ref="B113:K113"/>
    <mergeCell ref="C114:I114"/>
    <mergeCell ref="C102:J102"/>
    <mergeCell ref="B103:J103"/>
    <mergeCell ref="B104:I104"/>
    <mergeCell ref="B105:K105"/>
    <mergeCell ref="B106:K106"/>
    <mergeCell ref="C107:J107"/>
    <mergeCell ref="C110:I110"/>
    <mergeCell ref="B95:J95"/>
    <mergeCell ref="C96:J96"/>
    <mergeCell ref="B97:J97"/>
    <mergeCell ref="B99:K99"/>
    <mergeCell ref="B100:J100"/>
    <mergeCell ref="C101:J101"/>
    <mergeCell ref="C89:I89"/>
    <mergeCell ref="C90:I90"/>
    <mergeCell ref="C91:I91"/>
    <mergeCell ref="C92:I92"/>
    <mergeCell ref="B93:I93"/>
    <mergeCell ref="B94:K94"/>
    <mergeCell ref="B83:I83"/>
    <mergeCell ref="C84:K84"/>
    <mergeCell ref="B85:K85"/>
    <mergeCell ref="B86:I86"/>
    <mergeCell ref="C87:I87"/>
    <mergeCell ref="C88:I88"/>
    <mergeCell ref="C77:I77"/>
    <mergeCell ref="C78:I78"/>
    <mergeCell ref="C79:I79"/>
    <mergeCell ref="C80:I80"/>
    <mergeCell ref="C81:I81"/>
    <mergeCell ref="C82:I82"/>
    <mergeCell ref="C71:J71"/>
    <mergeCell ref="C72:J72"/>
    <mergeCell ref="C73:J73"/>
    <mergeCell ref="C74:J74"/>
    <mergeCell ref="B75:K75"/>
    <mergeCell ref="C76:I76"/>
    <mergeCell ref="C65:J65"/>
    <mergeCell ref="M66:N66"/>
    <mergeCell ref="B67:J67"/>
    <mergeCell ref="C68:K68"/>
    <mergeCell ref="B69:K69"/>
    <mergeCell ref="B70:J70"/>
    <mergeCell ref="M73:P73"/>
    <mergeCell ref="B60:I60"/>
    <mergeCell ref="C61:K61"/>
    <mergeCell ref="M61:N61"/>
    <mergeCell ref="B62:J62"/>
    <mergeCell ref="C63:J63"/>
    <mergeCell ref="C64:J64"/>
    <mergeCell ref="C55:I55"/>
    <mergeCell ref="C56:I56"/>
    <mergeCell ref="C57:I57"/>
    <mergeCell ref="C58:I58"/>
    <mergeCell ref="C59:I59"/>
    <mergeCell ref="M59:N59"/>
    <mergeCell ref="M50:N50"/>
    <mergeCell ref="B51:I51"/>
    <mergeCell ref="C52:I52"/>
    <mergeCell ref="M52:N52"/>
    <mergeCell ref="C53:I53"/>
    <mergeCell ref="C54:I54"/>
    <mergeCell ref="B45:K45"/>
    <mergeCell ref="B46:I46"/>
    <mergeCell ref="C47:I47"/>
    <mergeCell ref="C48:I48"/>
    <mergeCell ref="B49:I49"/>
    <mergeCell ref="B50:K50"/>
    <mergeCell ref="C39:I39"/>
    <mergeCell ref="C40:I40"/>
    <mergeCell ref="B41:J41"/>
    <mergeCell ref="B42:J42"/>
    <mergeCell ref="N43:Q43"/>
    <mergeCell ref="M44:N44"/>
    <mergeCell ref="C34:I34"/>
    <mergeCell ref="C35:I35"/>
    <mergeCell ref="M35:Q35"/>
    <mergeCell ref="C36:I36"/>
    <mergeCell ref="C37:I37"/>
    <mergeCell ref="C38:I38"/>
    <mergeCell ref="M38:P38"/>
    <mergeCell ref="C29:J29"/>
    <mergeCell ref="C30:K30"/>
    <mergeCell ref="B31:K31"/>
    <mergeCell ref="C32:I32"/>
    <mergeCell ref="C33:I33"/>
    <mergeCell ref="M33:P33"/>
    <mergeCell ref="B24:K24"/>
    <mergeCell ref="C25:J25"/>
    <mergeCell ref="C26:J26"/>
    <mergeCell ref="M26:P26"/>
    <mergeCell ref="C27:J27"/>
    <mergeCell ref="C28:J28"/>
    <mergeCell ref="M28:Q28"/>
    <mergeCell ref="B17:K17"/>
    <mergeCell ref="B19:G19"/>
    <mergeCell ref="I19:K19"/>
    <mergeCell ref="B20:G20"/>
    <mergeCell ref="I20:K20"/>
    <mergeCell ref="B22:K22"/>
    <mergeCell ref="C13:G13"/>
    <mergeCell ref="H13:K13"/>
    <mergeCell ref="M13:P13"/>
    <mergeCell ref="C14:G14"/>
    <mergeCell ref="H14:K14"/>
    <mergeCell ref="C15:G15"/>
    <mergeCell ref="H15:K15"/>
    <mergeCell ref="M15:Q15"/>
    <mergeCell ref="B10:K10"/>
    <mergeCell ref="B11:K11"/>
    <mergeCell ref="C12:G12"/>
    <mergeCell ref="H12:K12"/>
    <mergeCell ref="B4:K4"/>
    <mergeCell ref="M4:Q4"/>
    <mergeCell ref="B5:K5"/>
    <mergeCell ref="H6:K6"/>
    <mergeCell ref="C7:G7"/>
    <mergeCell ref="H7:K7"/>
    <mergeCell ref="B1:K1"/>
    <mergeCell ref="M1:Q1"/>
    <mergeCell ref="B2:K2"/>
    <mergeCell ref="M2:Q2"/>
    <mergeCell ref="B3:I3"/>
    <mergeCell ref="M3:Q3"/>
    <mergeCell ref="C8:G8"/>
    <mergeCell ref="H8:K8"/>
    <mergeCell ref="H9:K9"/>
  </mergeCells>
  <printOptions horizontalCentered="1" verticalCentered="1"/>
  <pageMargins left="0.51181102362204722" right="0.51181102362204722" top="0.82677165354330717" bottom="0.35433070866141736" header="0.11811023622047245" footer="0.11811023622047245"/>
  <pageSetup paperSize="9" scale="63" orientation="portrait" r:id="rId1"/>
  <rowBreaks count="1" manualBreakCount="1">
    <brk id="83" min="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35</vt:i4>
      </vt:variant>
      <vt:variant>
        <vt:lpstr>Intervalos nomeados</vt:lpstr>
      </vt:variant>
      <vt:variant>
        <vt:i4>34</vt:i4>
      </vt:variant>
    </vt:vector>
  </HeadingPairs>
  <TitlesOfParts>
    <vt:vector size="69" baseType="lpstr">
      <vt:lpstr>12h NOT INSPETOR ITEM 1</vt:lpstr>
      <vt:lpstr>RESUMO item 1</vt:lpstr>
      <vt:lpstr>Planilha1</vt:lpstr>
      <vt:lpstr>RESUMO GERAL</vt:lpstr>
      <vt:lpstr>RESUMO</vt:lpstr>
      <vt:lpstr>MANAUS DIURNO</vt:lpstr>
      <vt:lpstr>MANAUS NOTU</vt:lpstr>
      <vt:lpstr>MANAUS 44 H</vt:lpstr>
      <vt:lpstr>MANAUS 44 H LÍDER</vt:lpstr>
      <vt:lpstr>TBT DIURNO</vt:lpstr>
      <vt:lpstr>TBT NOTU</vt:lpstr>
      <vt:lpstr>TEFÉ 44 H</vt:lpstr>
      <vt:lpstr>TABATINGA NOTU</vt:lpstr>
      <vt:lpstr>TABATINGA DIURNO</vt:lpstr>
      <vt:lpstr>TABATINGA DIURNO FRONT</vt:lpstr>
      <vt:lpstr>ITACOATIARA NOTU</vt:lpstr>
      <vt:lpstr>ITACOATIARA DIURNO</vt:lpstr>
      <vt:lpstr>MANAUS NOTURNO</vt:lpstr>
      <vt:lpstr>NOTURNO ARAGUAÍNA ok</vt:lpstr>
      <vt:lpstr>KKKK</vt:lpstr>
      <vt:lpstr>RESUMO item 2</vt:lpstr>
      <vt:lpstr>12h DIU VIG ITEM 3</vt:lpstr>
      <vt:lpstr>RESUMO item 3</vt:lpstr>
      <vt:lpstr>NOTURNO GURUPI ok</vt:lpstr>
      <vt:lpstr>3 - DIU OUTEIRO</vt:lpstr>
      <vt:lpstr>3 - NOT OUTEIRO</vt:lpstr>
      <vt:lpstr>4 - DIU MARABÁ</vt:lpstr>
      <vt:lpstr>4 - NOT MARABÁ</vt:lpstr>
      <vt:lpstr>5 - DIU VISEU</vt:lpstr>
      <vt:lpstr>5 - NOT VISEU</vt:lpstr>
      <vt:lpstr>6 - DIU RADAR METE</vt:lpstr>
      <vt:lpstr>6 - NOT RADAR METE</vt:lpstr>
      <vt:lpstr>7 - DIU RADAR LP 23</vt:lpstr>
      <vt:lpstr>7 - NOT RADAR LP 23</vt:lpstr>
      <vt:lpstr>EQUIP-MAT </vt:lpstr>
      <vt:lpstr>'12h DIU VIG ITEM 3'!Area_de_impressao</vt:lpstr>
      <vt:lpstr>'12h NOT INSPETOR ITEM 1'!Area_de_impressao</vt:lpstr>
      <vt:lpstr>'3 - DIU OUTEIRO'!Area_de_impressao</vt:lpstr>
      <vt:lpstr>'3 - NOT OUTEIRO'!Area_de_impressao</vt:lpstr>
      <vt:lpstr>'4 - DIU MARABÁ'!Area_de_impressao</vt:lpstr>
      <vt:lpstr>'4 - NOT MARABÁ'!Area_de_impressao</vt:lpstr>
      <vt:lpstr>'5 - DIU VISEU'!Area_de_impressao</vt:lpstr>
      <vt:lpstr>'5 - NOT VISEU'!Area_de_impressao</vt:lpstr>
      <vt:lpstr>'6 - DIU RADAR METE'!Area_de_impressao</vt:lpstr>
      <vt:lpstr>'6 - NOT RADAR METE'!Area_de_impressao</vt:lpstr>
      <vt:lpstr>'7 - DIU RADAR LP 23'!Area_de_impressao</vt:lpstr>
      <vt:lpstr>'7 - NOT RADAR LP 23'!Area_de_impressao</vt:lpstr>
      <vt:lpstr>'EQUIP-MAT '!Area_de_impressao</vt:lpstr>
      <vt:lpstr>'ITACOATIARA DIURNO'!Area_de_impressao</vt:lpstr>
      <vt:lpstr>'ITACOATIARA NOTU'!Area_de_impressao</vt:lpstr>
      <vt:lpstr>KKKK!Area_de_impressao</vt:lpstr>
      <vt:lpstr>'MANAUS 44 H'!Area_de_impressao</vt:lpstr>
      <vt:lpstr>'MANAUS 44 H LÍDER'!Area_de_impressao</vt:lpstr>
      <vt:lpstr>'MANAUS DIURNO'!Area_de_impressao</vt:lpstr>
      <vt:lpstr>'MANAUS NOTU'!Area_de_impressao</vt:lpstr>
      <vt:lpstr>'MANAUS NOTURNO'!Area_de_impressao</vt:lpstr>
      <vt:lpstr>'NOTURNO ARAGUAÍNA ok'!Area_de_impressao</vt:lpstr>
      <vt:lpstr>'NOTURNO GURUPI ok'!Area_de_impressao</vt:lpstr>
      <vt:lpstr>RESUMO!Area_de_impressao</vt:lpstr>
      <vt:lpstr>'RESUMO GERAL'!Area_de_impressao</vt:lpstr>
      <vt:lpstr>'RESUMO item 1'!Area_de_impressao</vt:lpstr>
      <vt:lpstr>'RESUMO item 2'!Area_de_impressao</vt:lpstr>
      <vt:lpstr>'RESUMO item 3'!Area_de_impressao</vt:lpstr>
      <vt:lpstr>'TABATINGA DIURNO'!Area_de_impressao</vt:lpstr>
      <vt:lpstr>'TABATINGA DIURNO FRONT'!Area_de_impressao</vt:lpstr>
      <vt:lpstr>'TABATINGA NOTU'!Area_de_impressao</vt:lpstr>
      <vt:lpstr>'TBT DIURNO'!Area_de_impressao</vt:lpstr>
      <vt:lpstr>'TBT NOTU'!Area_de_impressao</vt:lpstr>
      <vt:lpstr>'TEFÉ 44 H'!Area_de_impressao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Kátia Santos</dc:creator>
  <cp:keywords>E. Santos</cp:keywords>
  <cp:lastModifiedBy>am200236</cp:lastModifiedBy>
  <cp:lastPrinted>2021-11-18T19:19:52Z</cp:lastPrinted>
  <dcterms:created xsi:type="dcterms:W3CDTF">2010-12-08T17:56:29Z</dcterms:created>
  <dcterms:modified xsi:type="dcterms:W3CDTF">2021-11-30T19:32:23Z</dcterms:modified>
</cp:coreProperties>
</file>